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5.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protanas.sharepoint.com/sites/Prosjekteringskontoret/Shared Documents/General/Tools &amp; Calculators/Windload Calculators/"/>
    </mc:Choice>
  </mc:AlternateContent>
  <xr:revisionPtr revIDLastSave="29" documentId="8_{6006FE68-F857-4D2A-8053-3B58AC37F586}" xr6:coauthVersionLast="47" xr6:coauthVersionMax="47" xr10:uidLastSave="{A5132E47-8C6C-45FC-BD85-08D3E85B564F}"/>
  <bookViews>
    <workbookView xWindow="0" yWindow="0" windowWidth="19200" windowHeight="21000" tabRatio="615" xr2:uid="{00000000-000D-0000-FFFF-FFFF00000000}"/>
  </bookViews>
  <sheets>
    <sheet name="Bygg" sheetId="4" r:id="rId1"/>
    <sheet name="Terreng" sheetId="2" r:id="rId2"/>
    <sheet name="Vindlast" sheetId="3" r:id="rId3"/>
    <sheet name="Tekking" sheetId="7" r:id="rId4"/>
    <sheet name="Konstruksjon" sheetId="5" r:id="rId5"/>
    <sheet name="Resultat" sheetId="6" r:id="rId6"/>
    <sheet name="Skisse flatt tak" sheetId="8" r:id="rId7"/>
  </sheets>
  <definedNames>
    <definedName name="Fester">Tekking!$Z$2:$AB$39</definedName>
    <definedName name="Fester2">Tekking!$Z$2:$AB$51</definedName>
    <definedName name="FestKap">Tekking!$N$1:$P$106</definedName>
    <definedName name="Kap">Tekking!$Z$2:$AA$51</definedName>
    <definedName name="Kommune">Bygg!$U$4:$Y$440</definedName>
    <definedName name="Kommuner">Bygg!$X$9:$AB$445</definedName>
    <definedName name="Skruekap">Tekking!$AD$2:$AE$70</definedName>
    <definedName name="Skruer">Tekking!$AD$2:$AF$71</definedName>
    <definedName name="SpikeKap">Tekking!$R$1:$T$106</definedName>
    <definedName name="Tak">Bygg!$O$24:$S$29</definedName>
    <definedName name="Underlag">Tekking!$H$47:$I$56</definedName>
    <definedName name="vref">Bygg!$V$23:$V$44</definedName>
    <definedName name="vref2">Bygg!$U$23:$V$44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4" l="1"/>
  <c r="G31" i="4"/>
  <c r="D21" i="8"/>
  <c r="C5" i="8" l="1"/>
  <c r="C6" i="3"/>
  <c r="G22" i="4" l="1"/>
  <c r="G23" i="4" s="1"/>
  <c r="G24" i="4" l="1"/>
  <c r="I14" i="6"/>
  <c r="I15" i="6"/>
  <c r="C29" i="7"/>
  <c r="E39" i="6" s="1"/>
  <c r="E22" i="8" s="1"/>
  <c r="F22" i="8" s="1"/>
  <c r="E30" i="7"/>
  <c r="H40" i="6" s="1"/>
  <c r="C23" i="8" s="1"/>
  <c r="C30" i="7"/>
  <c r="K23" i="2"/>
  <c r="I25" i="2" s="1"/>
  <c r="F3" i="3" s="1"/>
  <c r="O20" i="2"/>
  <c r="G25" i="2"/>
  <c r="M20" i="2"/>
  <c r="N20" i="2"/>
  <c r="F25" i="2"/>
  <c r="C10" i="3"/>
  <c r="F4" i="3"/>
  <c r="G13" i="4"/>
  <c r="I10" i="6" s="1"/>
  <c r="G11" i="4"/>
  <c r="C3" i="3" s="1"/>
  <c r="C28" i="5"/>
  <c r="I9" i="5"/>
  <c r="I15" i="5"/>
  <c r="H35" i="6" s="1"/>
  <c r="I21" i="5"/>
  <c r="H36" i="6" s="1"/>
  <c r="E28" i="7"/>
  <c r="E28" i="5" s="1"/>
  <c r="E31" i="7"/>
  <c r="C29" i="5"/>
  <c r="C30" i="5"/>
  <c r="C28" i="7"/>
  <c r="E30" i="5"/>
  <c r="C31" i="7"/>
  <c r="H28" i="7" s="1"/>
  <c r="I2" i="6"/>
  <c r="C4" i="6"/>
  <c r="C5" i="6"/>
  <c r="C6" i="6"/>
  <c r="C7" i="6"/>
  <c r="C8" i="6"/>
  <c r="G12" i="4"/>
  <c r="C4" i="3" s="1"/>
  <c r="I11" i="6"/>
  <c r="G21" i="4"/>
  <c r="H13" i="6" s="1"/>
  <c r="I17" i="6"/>
  <c r="E24" i="6"/>
  <c r="E26" i="6"/>
  <c r="E27" i="6"/>
  <c r="H27" i="6"/>
  <c r="I27" i="6"/>
  <c r="E28" i="6"/>
  <c r="H28" i="6"/>
  <c r="I28" i="6"/>
  <c r="E29" i="6"/>
  <c r="H29" i="6"/>
  <c r="I29" i="6"/>
  <c r="E30" i="6"/>
  <c r="H30" i="6"/>
  <c r="H19" i="2"/>
  <c r="I30" i="6"/>
  <c r="C27" i="5"/>
  <c r="H27" i="5"/>
  <c r="H47" i="6" s="1"/>
  <c r="E27" i="5"/>
  <c r="Q27" i="5"/>
  <c r="H42" i="5"/>
  <c r="G42" i="5" s="1"/>
  <c r="Q42" i="5"/>
  <c r="C9" i="7"/>
  <c r="F9" i="7"/>
  <c r="E29" i="7"/>
  <c r="H39" i="6" s="1"/>
  <c r="B30" i="7"/>
  <c r="B40" i="6" s="1"/>
  <c r="B23" i="8" s="1"/>
  <c r="C32" i="7"/>
  <c r="E41" i="6" s="1"/>
  <c r="E24" i="8" s="1"/>
  <c r="E32" i="7"/>
  <c r="H41" i="6"/>
  <c r="D24" i="8" s="1"/>
  <c r="F24" i="8" s="1"/>
  <c r="C33" i="7"/>
  <c r="E42" i="6" s="1"/>
  <c r="E25" i="8" s="1"/>
  <c r="E33" i="7"/>
  <c r="H42" i="6"/>
  <c r="C25" i="8" s="1"/>
  <c r="C34" i="7"/>
  <c r="E43" i="6" s="1"/>
  <c r="H43" i="6" s="1"/>
  <c r="E34" i="7"/>
  <c r="L7" i="3"/>
  <c r="L8" i="3" s="1"/>
  <c r="F13" i="3"/>
  <c r="H15" i="3"/>
  <c r="F17" i="3" s="1"/>
  <c r="B14" i="2"/>
  <c r="C24" i="6" s="1"/>
  <c r="C14" i="2"/>
  <c r="D14" i="2"/>
  <c r="E14" i="2"/>
  <c r="I19" i="2"/>
  <c r="K22" i="2"/>
  <c r="E25" i="2"/>
  <c r="K29" i="2"/>
  <c r="B31" i="2" s="1"/>
  <c r="B32" i="2"/>
  <c r="O4" i="4"/>
  <c r="O5" i="4" s="1"/>
  <c r="O7" i="4"/>
  <c r="E31" i="4"/>
  <c r="E32" i="4"/>
  <c r="B30" i="2"/>
  <c r="H30" i="7"/>
  <c r="H28" i="5" s="1"/>
  <c r="H48" i="6" s="1"/>
  <c r="C24" i="8"/>
  <c r="E44" i="6"/>
  <c r="E40" i="6"/>
  <c r="E23" i="8" s="1"/>
  <c r="D22" i="8" l="1"/>
  <c r="C22" i="8"/>
  <c r="E29" i="5"/>
  <c r="H44" i="6"/>
  <c r="F16" i="3"/>
  <c r="D23" i="8"/>
  <c r="F23" i="8" s="1"/>
  <c r="H30" i="5"/>
  <c r="H50" i="6" s="1"/>
  <c r="H45" i="5"/>
  <c r="G45" i="5" s="1"/>
  <c r="H43" i="5"/>
  <c r="G43" i="5" s="1"/>
  <c r="H29" i="5"/>
  <c r="H49" i="6" s="1"/>
  <c r="H25" i="2"/>
  <c r="H44" i="5"/>
  <c r="G44" i="5" s="1"/>
  <c r="D25" i="8"/>
  <c r="F25" i="8" s="1"/>
  <c r="C11" i="6"/>
  <c r="C5" i="3"/>
  <c r="C10" i="6"/>
  <c r="O11" i="4"/>
  <c r="C4" i="5"/>
  <c r="C9" i="3"/>
  <c r="C11" i="3" s="1"/>
  <c r="I16" i="6"/>
  <c r="G29" i="4"/>
  <c r="I18" i="6" s="1"/>
  <c r="F18" i="3" l="1"/>
  <c r="E16" i="4"/>
  <c r="F16" i="4"/>
  <c r="G16" i="4" s="1"/>
  <c r="H4" i="5"/>
  <c r="G33" i="4"/>
  <c r="C11" i="8" s="1"/>
  <c r="C12" i="3"/>
  <c r="D4" i="5"/>
  <c r="B4" i="5"/>
  <c r="I19" i="6"/>
  <c r="F6" i="3" l="1"/>
  <c r="C8" i="3"/>
  <c r="C13" i="3" s="1"/>
  <c r="C14" i="3" s="1"/>
  <c r="C33" i="3" s="1"/>
  <c r="I32" i="6" s="1"/>
  <c r="F19" i="3"/>
  <c r="I21" i="6"/>
  <c r="G34" i="4"/>
  <c r="F42" i="5" s="1"/>
  <c r="I22" i="6"/>
  <c r="I4" i="5"/>
  <c r="G26" i="4"/>
  <c r="F43" i="5" s="1"/>
  <c r="G4" i="5"/>
  <c r="G27" i="4"/>
  <c r="F44" i="5" s="1"/>
  <c r="I20" i="6"/>
  <c r="C31" i="3" l="1"/>
  <c r="I33" i="6" s="1"/>
  <c r="G28" i="4"/>
  <c r="E4" i="5" s="1"/>
  <c r="F4" i="5" s="1"/>
  <c r="D29" i="5" l="1"/>
  <c r="C49" i="6" s="1"/>
  <c r="D28" i="5"/>
  <c r="N28" i="5" s="1"/>
  <c r="K28" i="5" s="1"/>
  <c r="D30" i="5"/>
  <c r="C50" i="6" s="1"/>
  <c r="D27" i="5"/>
  <c r="F45" i="5"/>
  <c r="F47" i="5" s="1"/>
  <c r="E30" i="4"/>
  <c r="N44" i="5" l="1"/>
  <c r="O44" i="5" s="1"/>
  <c r="O50" i="5" s="1"/>
  <c r="N29" i="5"/>
  <c r="K29" i="5" s="1"/>
  <c r="C48" i="6"/>
  <c r="N43" i="5"/>
  <c r="K43" i="5" s="1"/>
  <c r="O28" i="5"/>
  <c r="O34" i="5" s="1"/>
  <c r="N30" i="5"/>
  <c r="N45" i="5"/>
  <c r="N27" i="5"/>
  <c r="N42" i="5"/>
  <c r="C47" i="6"/>
  <c r="O29" i="5" l="1"/>
  <c r="O35" i="5" s="1"/>
  <c r="K44" i="5"/>
  <c r="L28" i="5"/>
  <c r="O43" i="5"/>
  <c r="O49" i="5" s="1"/>
  <c r="I28" i="5"/>
  <c r="G28" i="5" s="1"/>
  <c r="O45" i="5"/>
  <c r="O51" i="5" s="1"/>
  <c r="K45" i="5"/>
  <c r="O30" i="5"/>
  <c r="K30" i="5"/>
  <c r="O42" i="5"/>
  <c r="O48" i="5" s="1"/>
  <c r="K42" i="5"/>
  <c r="O27" i="5"/>
  <c r="O33" i="5" s="1"/>
  <c r="K27" i="5"/>
  <c r="I29" i="5" l="1"/>
  <c r="L44" i="5" s="1"/>
  <c r="L29" i="5"/>
  <c r="L43" i="5"/>
  <c r="I48" i="6"/>
  <c r="C26" i="8" s="1"/>
  <c r="I27" i="5"/>
  <c r="L42" i="5" s="1"/>
  <c r="L27" i="5"/>
  <c r="O36" i="5"/>
  <c r="L30" i="5"/>
  <c r="I30" i="5"/>
  <c r="F48" i="6"/>
  <c r="F28" i="5"/>
  <c r="G29" i="5" l="1"/>
  <c r="F29" i="5" s="1"/>
  <c r="E49" i="6" s="1"/>
  <c r="I49" i="6"/>
  <c r="D26" i="8" s="1"/>
  <c r="G27" i="5"/>
  <c r="F27" i="5" s="1"/>
  <c r="E47" i="6" s="1"/>
  <c r="I47" i="6"/>
  <c r="F26" i="8" s="1"/>
  <c r="L45" i="5"/>
  <c r="I50" i="6"/>
  <c r="E26" i="8" s="1"/>
  <c r="G30" i="5"/>
  <c r="E48" i="6"/>
  <c r="F49" i="6" l="1"/>
  <c r="F47" i="6"/>
  <c r="F50" i="6"/>
  <c r="F30" i="5"/>
  <c r="E50" i="6" l="1"/>
  <c r="F32" i="5"/>
  <c r="E5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Lars M Anisdahl</author>
    <author>anilar</author>
  </authors>
  <commentList>
    <comment ref="B16" authorId="0" shapeId="0" xr:uid="{00000000-0006-0000-0000-000001000000}">
      <text>
        <r>
          <rPr>
            <b/>
            <sz val="10"/>
            <color indexed="81"/>
            <rFont val="Arial"/>
            <family val="2"/>
          </rPr>
          <t>Byggestedets høyde over havet må oppgis.</t>
        </r>
        <r>
          <rPr>
            <sz val="8"/>
            <color indexed="81"/>
            <rFont val="Tahoma"/>
            <family val="2"/>
          </rPr>
          <t xml:space="preserve">
</t>
        </r>
      </text>
    </comment>
    <comment ref="G22" authorId="1" shapeId="0" xr:uid="{00000000-0006-0000-0000-000002000000}">
      <text>
        <r>
          <rPr>
            <b/>
            <sz val="10"/>
            <color indexed="81"/>
            <rFont val="Arial"/>
            <family val="2"/>
          </rPr>
          <t xml:space="preserve">Lav bygning: </t>
        </r>
        <r>
          <rPr>
            <sz val="10"/>
            <color indexed="81"/>
            <rFont val="Arial"/>
            <family val="2"/>
          </rPr>
          <t xml:space="preserve">
2 </t>
        </r>
        <r>
          <rPr>
            <vertAlign val="superscript"/>
            <sz val="10"/>
            <color indexed="81"/>
            <rFont val="Arial"/>
            <family val="2"/>
          </rPr>
          <t>.</t>
        </r>
        <r>
          <rPr>
            <sz val="10"/>
            <color indexed="81"/>
            <rFont val="Arial"/>
            <family val="2"/>
          </rPr>
          <t xml:space="preserve"> Høyde &lt;= Byggets bredde eller 
2 </t>
        </r>
        <r>
          <rPr>
            <vertAlign val="superscript"/>
            <sz val="10"/>
            <color indexed="81"/>
            <rFont val="Arial"/>
            <family val="2"/>
          </rPr>
          <t>.</t>
        </r>
        <r>
          <rPr>
            <sz val="10"/>
            <color indexed="81"/>
            <rFont val="Arial"/>
            <family val="2"/>
          </rPr>
          <t xml:space="preserve"> Høyde &lt;= Byggets dybde.
</t>
        </r>
        <r>
          <rPr>
            <b/>
            <sz val="10"/>
            <color indexed="81"/>
            <rFont val="Arial"/>
            <family val="2"/>
          </rPr>
          <t>Høy bygning:</t>
        </r>
        <r>
          <rPr>
            <sz val="10"/>
            <color indexed="81"/>
            <rFont val="Arial"/>
            <family val="2"/>
          </rPr>
          <t xml:space="preserve"> Alle andre tilfeller.</t>
        </r>
        <r>
          <rPr>
            <sz val="8"/>
            <color indexed="81"/>
            <rFont val="Tahoma"/>
            <family val="2"/>
          </rPr>
          <t xml:space="preserve">
</t>
        </r>
      </text>
    </comment>
    <comment ref="G23" authorId="1" shapeId="0" xr:uid="{00000000-0006-0000-0000-000003000000}">
      <text>
        <r>
          <rPr>
            <b/>
            <sz val="10"/>
            <color indexed="81"/>
            <rFont val="Arial"/>
            <family val="2"/>
          </rPr>
          <t xml:space="preserve">Lav bygning: </t>
        </r>
        <r>
          <rPr>
            <sz val="10"/>
            <color indexed="81"/>
            <rFont val="Arial"/>
            <family val="2"/>
          </rPr>
          <t xml:space="preserve">2 </t>
        </r>
        <r>
          <rPr>
            <vertAlign val="superscript"/>
            <sz val="10"/>
            <color indexed="81"/>
            <rFont val="Arial"/>
            <family val="2"/>
          </rPr>
          <t>.</t>
        </r>
        <r>
          <rPr>
            <sz val="10"/>
            <color indexed="81"/>
            <rFont val="Arial"/>
            <family val="2"/>
          </rPr>
          <t xml:space="preserve"> Høyde delt på 10.
</t>
        </r>
        <r>
          <rPr>
            <b/>
            <sz val="10"/>
            <color indexed="81"/>
            <rFont val="Arial"/>
            <family val="2"/>
          </rPr>
          <t xml:space="preserve">Høy bygning: </t>
        </r>
        <r>
          <rPr>
            <sz val="10"/>
            <color indexed="81"/>
            <rFont val="Arial"/>
            <family val="2"/>
          </rPr>
          <t>Den største av enten byggets bredde eller dybde delt på 10.</t>
        </r>
      </text>
    </comment>
    <comment ref="G24" authorId="1" shapeId="0" xr:uid="{00000000-0006-0000-0000-000004000000}">
      <text>
        <r>
          <rPr>
            <b/>
            <sz val="10"/>
            <color indexed="81"/>
            <rFont val="Arial"/>
            <family val="2"/>
          </rPr>
          <t>Lav bygning:</t>
        </r>
        <r>
          <rPr>
            <sz val="10"/>
            <color indexed="81"/>
            <rFont val="Arial"/>
            <family val="2"/>
          </rPr>
          <t xml:space="preserve"> 2 </t>
        </r>
        <r>
          <rPr>
            <vertAlign val="superscript"/>
            <sz val="10"/>
            <color indexed="81"/>
            <rFont val="Arial"/>
            <family val="2"/>
          </rPr>
          <t>.</t>
        </r>
        <r>
          <rPr>
            <sz val="10"/>
            <color indexed="81"/>
            <rFont val="Arial"/>
            <family val="2"/>
          </rPr>
          <t xml:space="preserve"> Høyde delt på 4.
</t>
        </r>
        <r>
          <rPr>
            <b/>
            <sz val="10"/>
            <color indexed="81"/>
            <rFont val="Arial"/>
            <family val="2"/>
          </rPr>
          <t>Høy bygning:</t>
        </r>
        <r>
          <rPr>
            <sz val="10"/>
            <color indexed="81"/>
            <rFont val="Arial"/>
            <family val="2"/>
          </rPr>
          <t xml:space="preserve"> Den største av enten byggets bredde eller dybde delt på 4.</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Lars M Anisdahl</author>
  </authors>
  <commentList>
    <comment ref="B13" authorId="0" shapeId="0" xr:uid="{00000000-0006-0000-0100-000001000000}">
      <text>
        <r>
          <rPr>
            <sz val="10"/>
            <color indexed="81"/>
            <rFont val="Arial"/>
            <family val="2"/>
          </rPr>
          <t>Terrengkategorier: 0, I, II, III, IV.</t>
        </r>
        <r>
          <rPr>
            <sz val="8"/>
            <color indexed="81"/>
            <rFont val="Tahoma"/>
            <family val="2"/>
          </rPr>
          <t xml:space="preserve">
</t>
        </r>
      </text>
    </comment>
    <comment ref="C13" authorId="0" shapeId="0" xr:uid="{00000000-0006-0000-0100-000002000000}">
      <text>
        <r>
          <rPr>
            <sz val="10"/>
            <color indexed="81"/>
            <rFont val="Arial"/>
            <family val="2"/>
          </rPr>
          <t xml:space="preserve">Terrengruhetsfaktor som varierer med valgt terrengkategori. </t>
        </r>
      </text>
    </comment>
    <comment ref="D13" authorId="0" shapeId="0" xr:uid="{00000000-0006-0000-0100-000003000000}">
      <text>
        <r>
          <rPr>
            <sz val="10"/>
            <color indexed="81"/>
            <rFont val="Arial"/>
            <family val="2"/>
          </rPr>
          <t xml:space="preserve">Ruhetslengden (høyden der vindhastigheten regnes som null), som varierer med valgt terrengkategori.
</t>
        </r>
      </text>
    </comment>
    <comment ref="E13" authorId="0" shapeId="0" xr:uid="{00000000-0006-0000-0100-000004000000}">
      <text>
        <r>
          <rPr>
            <sz val="10"/>
            <color indexed="81"/>
            <rFont val="Arial"/>
            <family val="2"/>
          </rPr>
          <t xml:space="preserve">Startnivå for logaritmisk vindprofil som varierer med valgt terrengkategori.
</t>
        </r>
      </text>
    </comment>
    <comment ref="E18" authorId="0" shapeId="0" xr:uid="{00000000-0006-0000-0100-000005000000}">
      <text>
        <r>
          <rPr>
            <sz val="10"/>
            <color indexed="81"/>
            <rFont val="Arial"/>
            <family val="2"/>
          </rPr>
          <t>Lokal høyde av topografisk form (forhøyning, skråning, regulær ås, bratt terreng). 
Denne høyden må alltid oppgis for alle topografiske former utenom flatt terreng. 
Se illustrasjon nederst på regnearket.</t>
        </r>
      </text>
    </comment>
    <comment ref="F18" authorId="0" shapeId="0" xr:uid="{00000000-0006-0000-0100-000006000000}">
      <text>
        <r>
          <rPr>
            <sz val="10"/>
            <color indexed="81"/>
            <rFont val="Arial"/>
            <family val="2"/>
          </rPr>
          <t xml:space="preserve">Lokal bredde av topografisk form (forhøyning, skråning, regulær ås, bratt terreng). 
LH er halv ås- eller bakkebredde målt på nivået 0.5H.  
For enkelthets skyld kan denne settes lik null, men da blir beregningen mer konservativ (LH = 2H). 
Se illustrasjon nederst på regnearket.
</t>
        </r>
        <r>
          <rPr>
            <sz val="8"/>
            <color indexed="81"/>
            <rFont val="Tahoma"/>
            <family val="2"/>
          </rPr>
          <t xml:space="preserve">
</t>
        </r>
      </text>
    </comment>
    <comment ref="G18" authorId="0" shapeId="0" xr:uid="{00000000-0006-0000-0100-000007000000}">
      <text>
        <r>
          <rPr>
            <sz val="10"/>
            <color indexed="81"/>
            <rFont val="Arial"/>
            <family val="2"/>
          </rPr>
          <t>Lokal horisontal avstand fra byggeplass til den topografiske formens topp-punkt (der H måles).
For enkelthets skyld kan denne settes lik null, men da blir beregningen mye mer konservativ. 
Se illustrasjon nederst på arket.</t>
        </r>
      </text>
    </comment>
    <comment ref="H18" authorId="0" shapeId="0" xr:uid="{00000000-0006-0000-0100-000008000000}">
      <text>
        <r>
          <rPr>
            <sz val="10"/>
            <color indexed="81"/>
            <rFont val="Arial"/>
            <family val="2"/>
          </rPr>
          <t xml:space="preserve">Helning = grader{arctan[H / (2 . LH)]}
</t>
        </r>
      </text>
    </comment>
    <comment ref="I18" authorId="0" shapeId="0" xr:uid="{00000000-0006-0000-0100-000009000000}">
      <text>
        <r>
          <rPr>
            <sz val="10"/>
            <color indexed="81"/>
            <rFont val="Arial"/>
            <family val="2"/>
          </rPr>
          <t xml:space="preserve">Dersom beregnet forhold H/LH blir høyere enn 0.5, settes verdien til 0.5. 
</t>
        </r>
      </text>
    </comment>
    <comment ref="M18" authorId="0" shapeId="0" xr:uid="{00000000-0006-0000-0100-00000A000000}">
      <text>
        <r>
          <rPr>
            <sz val="10"/>
            <color indexed="81"/>
            <rFont val="Arial"/>
            <family val="2"/>
          </rPr>
          <t xml:space="preserve">Lokal høyde av topografisk form (forhøyning, skråning, regulær ås, bratt terreng). 
Denne høyden må alltid oppgis for alle topografiske former utenom flatt terreng. 
Se illustrasjon nederst på regnearket.  </t>
        </r>
        <r>
          <rPr>
            <sz val="10"/>
            <color indexed="81"/>
            <rFont val="Tahoma"/>
            <family val="2"/>
          </rPr>
          <t xml:space="preserve"> </t>
        </r>
        <r>
          <rPr>
            <sz val="8"/>
            <color indexed="81"/>
            <rFont val="Tahoma"/>
            <family val="2"/>
          </rPr>
          <t xml:space="preserve">
</t>
        </r>
      </text>
    </comment>
    <comment ref="N18" authorId="0" shapeId="0" xr:uid="{00000000-0006-0000-0100-00000B000000}">
      <text>
        <r>
          <rPr>
            <sz val="10"/>
            <color indexed="81"/>
            <rFont val="Arial"/>
            <family val="2"/>
          </rPr>
          <t xml:space="preserve">Lokal bredde av topografisk form (forhøyning, skråning, regulær ås, bratt terreng). 
LH er halv ås- eller bakkebredde målt på nivået 0.5H.  
For enkelthets skyld kan denne settes lik null, men da blir beregningen mer konservativ (LH = 2H). 
Se illustrasjon nederst på regnearket.
</t>
        </r>
        <r>
          <rPr>
            <sz val="8"/>
            <color indexed="81"/>
            <rFont val="Tahoma"/>
            <family val="2"/>
          </rPr>
          <t xml:space="preserve">
</t>
        </r>
      </text>
    </comment>
    <comment ref="O18" authorId="0" shapeId="0" xr:uid="{00000000-0006-0000-0100-00000C000000}">
      <text>
        <r>
          <rPr>
            <sz val="10"/>
            <color indexed="81"/>
            <rFont val="Arial"/>
            <family val="2"/>
          </rPr>
          <t>Lokal horisontal avstand fra byggeplass til den topografiske formens topp-punkt (der H måles).
For enkelthets skyld kan denne settes lik null, men da blir beregningen mye mer konservativ. 
Se illustrasjon nederst på arket.</t>
        </r>
      </text>
    </comment>
    <comment ref="E24" authorId="0" shapeId="0" xr:uid="{00000000-0006-0000-0100-00000D000000}">
      <text>
        <r>
          <rPr>
            <sz val="10"/>
            <color indexed="81"/>
            <rFont val="Arial"/>
            <family val="2"/>
          </rPr>
          <t xml:space="preserve">Flatt terreng: DSz,max = 0
Forhøyning: DSz,max = 1.8 . H / LH
Skråning: DSz,max = 1.8 . H / LH
Regulær ås: DSz,max = 2 . H / LH
Leside av bratt terreng: DSz,max = 0
</t>
        </r>
      </text>
    </comment>
    <comment ref="F24" authorId="0" shapeId="0" xr:uid="{00000000-0006-0000-0100-00000E000000}">
      <text>
        <r>
          <rPr>
            <sz val="10"/>
            <color indexed="81"/>
            <rFont val="Arial"/>
            <family val="2"/>
          </rPr>
          <t>Flatt terreng: a = 0
Forhøyning: a = 2.5
Skråning: a = 2.5
Regulær ås: a = 3
Leside av bratt terreng: a = 0</t>
        </r>
      </text>
    </comment>
    <comment ref="G24" authorId="0" shapeId="0" xr:uid="{00000000-0006-0000-0100-00000F000000}">
      <text>
        <r>
          <rPr>
            <sz val="10"/>
            <color indexed="81"/>
            <rFont val="Arial"/>
            <family val="2"/>
          </rPr>
          <t>Flatt terreng: kvirk = 0
Forhøyning: kvirk = 4
Skråning: kvirk = 1.5
Regulær ås: kvirk = 1.5
Leside av bratt terreng: kvirk = 0</t>
        </r>
      </text>
    </comment>
    <comment ref="H24" authorId="0" shapeId="0" xr:uid="{00000000-0006-0000-0100-000010000000}">
      <text>
        <r>
          <rPr>
            <sz val="10"/>
            <color indexed="81"/>
            <rFont val="Arial"/>
            <family val="2"/>
          </rPr>
          <t>For flatt terreng: ct(0) = 1.
2D-forenkling for forhøyning, skråning og regulær ås:
ct(0) = 1 + DSz,max . [1 - abs(X) / (kvirk . LH)]
For leside av bratt terreng i terrengkategori I eller II med helning &gt;=30°:
For X &lt;= 10 . H da er ct(0) = 1.
For 10 . H &lt; X &lt;= 15 . H da er ct(0) = 0.9.
Ellers er ct(0) = 1.</t>
        </r>
      </text>
    </comment>
    <comment ref="I24" authorId="0" shapeId="0" xr:uid="{00000000-0006-0000-0100-000011000000}">
      <text>
        <r>
          <rPr>
            <sz val="10"/>
            <color indexed="81"/>
            <rFont val="Arial"/>
            <family val="2"/>
          </rPr>
          <t>For leside av bratt terreng i terrengkategori I eller II med helning &gt;=30°:
For X &lt;= 15 . H da er ctt = 1.75.
Ellers er ctt = 1.</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Lars M Anisdahl</author>
  </authors>
  <commentList>
    <comment ref="E3" authorId="0" shapeId="0" xr:uid="{00000000-0006-0000-0200-000001000000}">
      <text>
        <r>
          <rPr>
            <sz val="10"/>
            <color indexed="81"/>
            <rFont val="Arial"/>
            <family val="2"/>
          </rPr>
          <t xml:space="preserve">Denne faktoren er med å styre turbulensintensiteten. 
</t>
        </r>
      </text>
    </comment>
    <comment ref="E4" authorId="0" shapeId="0" xr:uid="{00000000-0006-0000-0200-000002000000}">
      <text>
        <r>
          <rPr>
            <sz val="10"/>
            <color indexed="81"/>
            <rFont val="Arial"/>
            <family val="2"/>
          </rPr>
          <t xml:space="preserve">Denne er konservativt valgt til å ha verdien 1.0 for alle vindretninger.
</t>
        </r>
      </text>
    </comment>
    <comment ref="B5" authorId="0" shapeId="0" xr:uid="{00000000-0006-0000-0200-000003000000}">
      <text>
        <r>
          <rPr>
            <sz val="10"/>
            <color indexed="81"/>
            <rFont val="Arial"/>
            <family val="2"/>
          </rPr>
          <t>Dette er gjennomsnittlig vindhastighet over 10 minutter, 10 m over et antatt flatt landskap med terrengkategori II i vid omkrets. Den gjelder for havets nivå med en returperiode på 50 år (sannsynlighet for overskridelse 0.02). 
Denne er grunnlaget for beregning av reelle vindbelastninger.</t>
        </r>
      </text>
    </comment>
    <comment ref="E5" authorId="0" shapeId="0" xr:uid="{00000000-0006-0000-0200-000004000000}">
      <text>
        <r>
          <rPr>
            <sz val="10"/>
            <color indexed="81"/>
            <rFont val="Arial"/>
            <family val="2"/>
          </rPr>
          <t xml:space="preserve">Denne er satt til 1.0 slik at årstidsvariasjoner blir neglisjert.
</t>
        </r>
      </text>
    </comment>
    <comment ref="E6" authorId="0" shapeId="0" xr:uid="{00000000-0006-0000-0200-000005000000}">
      <text>
        <r>
          <rPr>
            <sz val="10"/>
            <color indexed="81"/>
            <rFont val="Arial"/>
            <family val="2"/>
          </rPr>
          <t>choh = 1 + [(30 - vref) . (H - H0)] / [vref . (Htopp - H0)] for vref &lt; 30 m/s.
choh = 1 for vref &gt;= 30 m/s.</t>
        </r>
      </text>
    </comment>
    <comment ref="E7" authorId="0" shapeId="0" xr:uid="{00000000-0006-0000-0200-000006000000}">
      <text>
        <r>
          <rPr>
            <sz val="10"/>
            <color indexed="81"/>
            <rFont val="Arial"/>
            <family val="2"/>
          </rPr>
          <t xml:space="preserve">Returperioden er satt til 50 år. Det tilsvarer en årlig sannsynlighet for overskridelse på 0.02 og medfører at faktoren csan = 1.0.
</t>
        </r>
      </text>
    </comment>
    <comment ref="B8" authorId="0" shapeId="0" xr:uid="{00000000-0006-0000-0200-000007000000}">
      <text>
        <r>
          <rPr>
            <sz val="10"/>
            <color indexed="81"/>
            <rFont val="Arial"/>
            <family val="2"/>
          </rPr>
          <t xml:space="preserve">vb = cret </t>
        </r>
        <r>
          <rPr>
            <vertAlign val="superscript"/>
            <sz val="10"/>
            <color indexed="81"/>
            <rFont val="Arial"/>
            <family val="2"/>
          </rPr>
          <t>.</t>
        </r>
        <r>
          <rPr>
            <sz val="10"/>
            <color indexed="81"/>
            <rFont val="Arial"/>
            <family val="2"/>
          </rPr>
          <t xml:space="preserve"> cårs </t>
        </r>
        <r>
          <rPr>
            <vertAlign val="superscript"/>
            <sz val="10"/>
            <color indexed="81"/>
            <rFont val="Arial"/>
            <family val="2"/>
          </rPr>
          <t>.</t>
        </r>
        <r>
          <rPr>
            <sz val="10"/>
            <color indexed="81"/>
            <rFont val="Arial"/>
            <family val="2"/>
          </rPr>
          <t xml:space="preserve"> choh </t>
        </r>
        <r>
          <rPr>
            <vertAlign val="superscript"/>
            <sz val="10"/>
            <color indexed="81"/>
            <rFont val="Arial"/>
            <family val="2"/>
          </rPr>
          <t>.</t>
        </r>
        <r>
          <rPr>
            <sz val="10"/>
            <color indexed="81"/>
            <rFont val="Arial"/>
            <family val="2"/>
          </rPr>
          <t xml:space="preserve"> csan </t>
        </r>
        <r>
          <rPr>
            <vertAlign val="superscript"/>
            <sz val="10"/>
            <color indexed="81"/>
            <rFont val="Arial"/>
            <family val="2"/>
          </rPr>
          <t>.</t>
        </r>
        <r>
          <rPr>
            <sz val="10"/>
            <color indexed="81"/>
            <rFont val="Arial"/>
            <family val="2"/>
          </rPr>
          <t xml:space="preserve"> vref</t>
        </r>
        <r>
          <rPr>
            <sz val="8"/>
            <color indexed="81"/>
            <rFont val="Tahoma"/>
            <family val="2"/>
          </rPr>
          <t xml:space="preserve">
</t>
        </r>
      </text>
    </comment>
    <comment ref="E8" authorId="0" shapeId="0" xr:uid="{00000000-0006-0000-0200-000008000000}">
      <text>
        <r>
          <rPr>
            <sz val="10"/>
            <color indexed="81"/>
            <rFont val="Arial"/>
            <family val="2"/>
          </rPr>
          <t xml:space="preserve">Returperioden er satt til 50 år. Det tilsvarer en årlig sannsynlighet for overskridelse på 0.02 og medfører at faktoren csan = 1.0.
</t>
        </r>
      </text>
    </comment>
    <comment ref="B9" authorId="0" shapeId="0" xr:uid="{00000000-0006-0000-0200-000009000000}">
      <text>
        <r>
          <rPr>
            <sz val="10"/>
            <color indexed="81"/>
            <rFont val="Arial"/>
            <family val="2"/>
          </rPr>
          <t>Den største verdien av byggets høyde eller zmin (startnivå for logaritmisk vindprofil gitt av terrengkategori).</t>
        </r>
      </text>
    </comment>
    <comment ref="B10" authorId="0" shapeId="0" xr:uid="{00000000-0006-0000-0200-00000A000000}">
      <text>
        <r>
          <rPr>
            <sz val="10"/>
            <color indexed="81"/>
            <rFont val="Arial"/>
            <family val="2"/>
          </rPr>
          <t>2D-forenkling for forhøyning, skråning og regulær ås:
ct(z) = 1 + DSz,max . [1 - abs(X) / (kvirk . LH)] . exp(-a . z* / LH)
Kan også skrives:
ct(z) = 1 + [ct(0) - 1] . exp(-a . z* / LH)
For flatt terreng er ct(z) = 1. 
For leside av bratt terreng settes ct(z) = ct(0), som beregnes i arket "Terreng".</t>
        </r>
      </text>
    </comment>
    <comment ref="E10" authorId="0" shapeId="0" xr:uid="{00000000-0006-0000-0200-00000B000000}">
      <text>
        <r>
          <rPr>
            <sz val="10"/>
            <color indexed="81"/>
            <rFont val="Arial"/>
            <family val="2"/>
          </rPr>
          <t xml:space="preserve">Luftdensitet varierer med lokalisering og klimaforhold, men det er normalt å bruke 1.25 kg/m³. </t>
        </r>
        <r>
          <rPr>
            <sz val="8"/>
            <color indexed="81"/>
            <rFont val="Tahoma"/>
            <family val="2"/>
          </rPr>
          <t xml:space="preserve">
</t>
        </r>
      </text>
    </comment>
    <comment ref="B11" authorId="0" shapeId="0" xr:uid="{00000000-0006-0000-0200-00000C000000}">
      <text>
        <r>
          <rPr>
            <sz val="10"/>
            <color indexed="81"/>
            <rFont val="Arial"/>
            <family val="2"/>
          </rPr>
          <t xml:space="preserve">cr(z) = kT </t>
        </r>
        <r>
          <rPr>
            <vertAlign val="superscript"/>
            <sz val="10"/>
            <color indexed="81"/>
            <rFont val="Arial"/>
            <family val="2"/>
          </rPr>
          <t>.</t>
        </r>
        <r>
          <rPr>
            <sz val="10"/>
            <color indexed="81"/>
            <rFont val="Arial"/>
            <family val="2"/>
          </rPr>
          <t xml:space="preserve"> ln(z / z0) for zmin &lt;= z &lt;= 200 m.
cr(z) = cr(zmin) for z &lt; zmin.</t>
        </r>
        <r>
          <rPr>
            <sz val="8"/>
            <color indexed="81"/>
            <rFont val="Tahoma"/>
            <family val="2"/>
          </rPr>
          <t xml:space="preserve">
</t>
        </r>
      </text>
    </comment>
    <comment ref="E11" authorId="0" shapeId="0" xr:uid="{00000000-0006-0000-0200-00000D000000}">
      <text>
        <r>
          <rPr>
            <sz val="10"/>
            <color indexed="81"/>
            <rFont val="Arial"/>
            <family val="2"/>
          </rPr>
          <t>Konstant lik 3.5 som ganges med turbulensintensiteten ved beregning av vindkasthastighet og -trykk.</t>
        </r>
      </text>
    </comment>
    <comment ref="B12" authorId="0" shapeId="0" xr:uid="{00000000-0006-0000-0200-00000E000000}">
      <text>
        <r>
          <rPr>
            <sz val="10"/>
            <color indexed="81"/>
            <rFont val="Arial"/>
            <family val="2"/>
          </rPr>
          <t>Iv(z) = [ctt . kT] / [cr(z) . ct(z)]
Turbulensintensiteten er forholdet mellom standardavviket for momentanvindhastighet målt i 1 sekund og stedsvindhastigheten.</t>
        </r>
      </text>
    </comment>
    <comment ref="B13" authorId="0" shapeId="0" xr:uid="{00000000-0006-0000-0200-00000F000000}">
      <text>
        <r>
          <rPr>
            <sz val="10"/>
            <color indexed="81"/>
            <rFont val="Arial"/>
            <family val="2"/>
          </rPr>
          <t xml:space="preserve">vs(z) = cr(z) </t>
        </r>
        <r>
          <rPr>
            <vertAlign val="superscript"/>
            <sz val="10"/>
            <color indexed="81"/>
            <rFont val="Arial"/>
            <family val="2"/>
          </rPr>
          <t>.</t>
        </r>
        <r>
          <rPr>
            <sz val="10"/>
            <color indexed="81"/>
            <rFont val="Arial"/>
            <family val="2"/>
          </rPr>
          <t xml:space="preserve"> ct(z) </t>
        </r>
        <r>
          <rPr>
            <vertAlign val="superscript"/>
            <sz val="10"/>
            <color indexed="81"/>
            <rFont val="Arial"/>
            <family val="2"/>
          </rPr>
          <t>.</t>
        </r>
        <r>
          <rPr>
            <sz val="10"/>
            <color indexed="81"/>
            <rFont val="Arial"/>
            <family val="2"/>
          </rPr>
          <t xml:space="preserve"> vb</t>
        </r>
        <r>
          <rPr>
            <sz val="8"/>
            <color indexed="81"/>
            <rFont val="Tahoma"/>
            <family val="2"/>
          </rPr>
          <t xml:space="preserve">
</t>
        </r>
      </text>
    </comment>
    <comment ref="E13" authorId="0" shapeId="0" xr:uid="{00000000-0006-0000-0200-000010000000}">
      <text>
        <r>
          <rPr>
            <sz val="10"/>
            <color indexed="81"/>
            <rFont val="Arial"/>
            <family val="2"/>
          </rPr>
          <t>Reduksjonsfaktoren får verdien 0.9 iht. tabell 9.2: "Pålitelighetsklasse 2" i NS-ENV 1991-1.
Størrelsen inngår i beregning av dimensjonerende last.</t>
        </r>
      </text>
    </comment>
    <comment ref="B14" authorId="0" shapeId="0" xr:uid="{00000000-0006-0000-0200-000011000000}">
      <text>
        <r>
          <rPr>
            <sz val="10"/>
            <color indexed="81"/>
            <rFont val="Arial"/>
            <family val="2"/>
          </rPr>
          <t xml:space="preserve">vkast(z) = vs(z) </t>
        </r>
        <r>
          <rPr>
            <vertAlign val="superscript"/>
            <sz val="10"/>
            <color indexed="81"/>
            <rFont val="Arial"/>
            <family val="2"/>
          </rPr>
          <t>.</t>
        </r>
        <r>
          <rPr>
            <sz val="10"/>
            <color indexed="81"/>
            <rFont val="Arial"/>
            <family val="2"/>
          </rPr>
          <t xml:space="preserve"> </t>
        </r>
        <r>
          <rPr>
            <b/>
            <sz val="10"/>
            <color indexed="81"/>
            <rFont val="Arial"/>
            <family val="2"/>
          </rPr>
          <t>rot</t>
        </r>
        <r>
          <rPr>
            <sz val="10"/>
            <color indexed="81"/>
            <rFont val="Arial"/>
            <family val="2"/>
          </rPr>
          <t xml:space="preserve">[1 + 2 </t>
        </r>
        <r>
          <rPr>
            <vertAlign val="superscript"/>
            <sz val="10"/>
            <color indexed="81"/>
            <rFont val="Arial"/>
            <family val="2"/>
          </rPr>
          <t>.</t>
        </r>
        <r>
          <rPr>
            <sz val="10"/>
            <color indexed="81"/>
            <rFont val="Arial"/>
            <family val="2"/>
          </rPr>
          <t xml:space="preserve"> kp </t>
        </r>
        <r>
          <rPr>
            <vertAlign val="superscript"/>
            <sz val="10"/>
            <color indexed="81"/>
            <rFont val="Arial"/>
            <family val="2"/>
          </rPr>
          <t>.</t>
        </r>
        <r>
          <rPr>
            <sz val="10"/>
            <color indexed="81"/>
            <rFont val="Arial"/>
            <family val="2"/>
          </rPr>
          <t xml:space="preserve"> Iv(z)]</t>
        </r>
        <r>
          <rPr>
            <sz val="8"/>
            <color indexed="81"/>
            <rFont val="Tahoma"/>
            <family val="2"/>
          </rPr>
          <t xml:space="preserve">
</t>
        </r>
      </text>
    </comment>
    <comment ref="E14" authorId="0" shapeId="0" xr:uid="{00000000-0006-0000-0200-000012000000}">
      <text>
        <r>
          <rPr>
            <sz val="10"/>
            <color indexed="81"/>
            <rFont val="Arial"/>
            <family val="2"/>
          </rPr>
          <t>Lastfaktoren får verdien 1.5 iht. tabell E1.1: "Ugunstig, dominerende variabel last" i NS-ENV 1991-1.
Størrelsen inngår i beregning av dimensjonerende last.</t>
        </r>
      </text>
    </comment>
    <comment ref="E16" authorId="0" shapeId="0" xr:uid="{00000000-0006-0000-0200-000013000000}">
      <text>
        <r>
          <rPr>
            <sz val="10"/>
            <color indexed="81"/>
            <rFont val="Arial"/>
            <family val="2"/>
          </rPr>
          <t>k1 = {[1 + 2 . kp . Iv(z)] / [1 + 2 . kp . (kT/cr(z))]} . ct2
Faktoren tar hensyn til vindkastøkning over åser og skråninger.</t>
        </r>
      </text>
    </comment>
    <comment ref="E17" authorId="0" shapeId="0" xr:uid="{00000000-0006-0000-0200-000014000000}">
      <text>
        <r>
          <rPr>
            <sz val="10"/>
            <color indexed="81"/>
            <rFont val="Arial"/>
            <family val="2"/>
          </rPr>
          <t>k2 = {[1 + 2 . kp . Iv(z)] / [1 + 2 . kp . (kT/cr(z))]} . ct2
Faktoren tar hensyn til vindkastøkning på leside av bratt terreng.</t>
        </r>
      </text>
    </comment>
    <comment ref="E18" authorId="0" shapeId="0" xr:uid="{00000000-0006-0000-0200-000015000000}">
      <text>
        <r>
          <rPr>
            <sz val="10"/>
            <color indexed="81"/>
            <rFont val="Arial"/>
            <family val="2"/>
          </rPr>
          <t xml:space="preserve">qk0 = [1 + 2 </t>
        </r>
        <r>
          <rPr>
            <vertAlign val="superscript"/>
            <sz val="10"/>
            <color indexed="81"/>
            <rFont val="Arial"/>
            <family val="2"/>
          </rPr>
          <t>.</t>
        </r>
        <r>
          <rPr>
            <sz val="10"/>
            <color indexed="81"/>
            <rFont val="Arial"/>
            <family val="2"/>
          </rPr>
          <t xml:space="preserve"> kp </t>
        </r>
        <r>
          <rPr>
            <vertAlign val="superscript"/>
            <sz val="10"/>
            <color indexed="81"/>
            <rFont val="Arial"/>
            <family val="2"/>
          </rPr>
          <t>.</t>
        </r>
        <r>
          <rPr>
            <sz val="10"/>
            <color indexed="81"/>
            <rFont val="Arial"/>
            <family val="2"/>
          </rPr>
          <t xml:space="preserve"> kT / cr(z)] </t>
        </r>
        <r>
          <rPr>
            <vertAlign val="superscript"/>
            <sz val="10"/>
            <color indexed="81"/>
            <rFont val="Arial"/>
            <family val="2"/>
          </rPr>
          <t>.</t>
        </r>
        <r>
          <rPr>
            <sz val="10"/>
            <color indexed="81"/>
            <rFont val="Arial"/>
            <family val="2"/>
          </rPr>
          <t xml:space="preserve"> cr(z)</t>
        </r>
        <r>
          <rPr>
            <vertAlign val="superscript"/>
            <sz val="10"/>
            <color indexed="81"/>
            <rFont val="Arial"/>
            <family val="2"/>
          </rPr>
          <t>2</t>
        </r>
        <r>
          <rPr>
            <sz val="10"/>
            <color indexed="81"/>
            <rFont val="Arial"/>
            <family val="2"/>
          </rPr>
          <t xml:space="preserve"> </t>
        </r>
        <r>
          <rPr>
            <vertAlign val="superscript"/>
            <sz val="10"/>
            <color indexed="81"/>
            <rFont val="Arial"/>
            <family val="2"/>
          </rPr>
          <t>.</t>
        </r>
        <r>
          <rPr>
            <sz val="10"/>
            <color indexed="81"/>
            <rFont val="Arial"/>
            <family val="2"/>
          </rPr>
          <t xml:space="preserve"> 0.5 </t>
        </r>
        <r>
          <rPr>
            <vertAlign val="superscript"/>
            <sz val="10"/>
            <color indexed="81"/>
            <rFont val="Arial"/>
            <family val="2"/>
          </rPr>
          <t>.</t>
        </r>
        <r>
          <rPr>
            <sz val="10"/>
            <color indexed="81"/>
            <rFont val="Arial"/>
            <family val="2"/>
          </rPr>
          <t xml:space="preserve"> d </t>
        </r>
        <r>
          <rPr>
            <vertAlign val="superscript"/>
            <sz val="10"/>
            <color indexed="81"/>
            <rFont val="Arial"/>
            <family val="2"/>
          </rPr>
          <t>.</t>
        </r>
        <r>
          <rPr>
            <sz val="10"/>
            <color indexed="81"/>
            <rFont val="Arial"/>
            <family val="2"/>
          </rPr>
          <t xml:space="preserve"> vref</t>
        </r>
        <r>
          <rPr>
            <vertAlign val="superscript"/>
            <sz val="10"/>
            <color indexed="81"/>
            <rFont val="Arial"/>
            <family val="2"/>
          </rPr>
          <t>2</t>
        </r>
        <r>
          <rPr>
            <sz val="10"/>
            <color indexed="81"/>
            <rFont val="Arial"/>
            <family val="2"/>
          </rPr>
          <t xml:space="preserve"> </t>
        </r>
        <r>
          <rPr>
            <sz val="8"/>
            <color indexed="81"/>
            <rFont val="Tahoma"/>
            <family val="2"/>
          </rPr>
          <t xml:space="preserve">
</t>
        </r>
      </text>
    </comment>
    <comment ref="E19" authorId="0" shapeId="0" xr:uid="{00000000-0006-0000-0200-000016000000}">
      <text>
        <r>
          <rPr>
            <sz val="10"/>
            <color indexed="81"/>
            <rFont val="Arial"/>
            <family val="2"/>
          </rPr>
          <t xml:space="preserve">qkast = k1 </t>
        </r>
        <r>
          <rPr>
            <vertAlign val="superscript"/>
            <sz val="10"/>
            <color indexed="81"/>
            <rFont val="Arial"/>
            <family val="2"/>
          </rPr>
          <t>.</t>
        </r>
        <r>
          <rPr>
            <sz val="10"/>
            <color indexed="81"/>
            <rFont val="Arial"/>
            <family val="2"/>
          </rPr>
          <t xml:space="preserve"> k2 </t>
        </r>
        <r>
          <rPr>
            <vertAlign val="superscript"/>
            <sz val="10"/>
            <color indexed="81"/>
            <rFont val="Arial"/>
            <family val="2"/>
          </rPr>
          <t>.</t>
        </r>
        <r>
          <rPr>
            <sz val="10"/>
            <color indexed="81"/>
            <rFont val="Arial"/>
            <family val="2"/>
          </rPr>
          <t xml:space="preserve"> cret</t>
        </r>
        <r>
          <rPr>
            <vertAlign val="superscript"/>
            <sz val="10"/>
            <color indexed="81"/>
            <rFont val="Arial"/>
            <family val="2"/>
          </rPr>
          <t>2 .</t>
        </r>
        <r>
          <rPr>
            <sz val="10"/>
            <color indexed="81"/>
            <rFont val="Arial"/>
            <family val="2"/>
          </rPr>
          <t xml:space="preserve"> cårs</t>
        </r>
        <r>
          <rPr>
            <vertAlign val="superscript"/>
            <sz val="10"/>
            <color indexed="81"/>
            <rFont val="Arial"/>
            <family val="2"/>
          </rPr>
          <t>2 .</t>
        </r>
        <r>
          <rPr>
            <sz val="10"/>
            <color indexed="81"/>
            <rFont val="Arial"/>
            <family val="2"/>
          </rPr>
          <t xml:space="preserve"> choh</t>
        </r>
        <r>
          <rPr>
            <vertAlign val="superscript"/>
            <sz val="10"/>
            <color indexed="81"/>
            <rFont val="Arial"/>
            <family val="2"/>
          </rPr>
          <t>2 .</t>
        </r>
        <r>
          <rPr>
            <sz val="10"/>
            <color indexed="81"/>
            <rFont val="Arial"/>
            <family val="2"/>
          </rPr>
          <t xml:space="preserve"> csan</t>
        </r>
        <r>
          <rPr>
            <vertAlign val="superscript"/>
            <sz val="10"/>
            <color indexed="81"/>
            <rFont val="Arial"/>
            <family val="2"/>
          </rPr>
          <t>2 .</t>
        </r>
        <r>
          <rPr>
            <sz val="10"/>
            <color indexed="81"/>
            <rFont val="Arial"/>
            <family val="2"/>
          </rPr>
          <t xml:space="preserve"> qk0</t>
        </r>
        <r>
          <rPr>
            <sz val="8"/>
            <color indexed="81"/>
            <rFont val="Tahoma"/>
            <family val="2"/>
          </rPr>
          <t xml:space="preserve">
</t>
        </r>
        <r>
          <rPr>
            <sz val="10"/>
            <color indexed="81"/>
            <rFont val="Arial"/>
            <family val="2"/>
          </rPr>
          <t xml:space="preserve">
</t>
        </r>
      </text>
    </comment>
    <comment ref="B31" authorId="0" shapeId="0" xr:uid="{00000000-0006-0000-0200-000017000000}">
      <text>
        <r>
          <rPr>
            <sz val="10"/>
            <color indexed="81"/>
            <rFont val="Arial"/>
            <family val="2"/>
          </rPr>
          <t xml:space="preserve">qkast(z) = 0.5 </t>
        </r>
        <r>
          <rPr>
            <vertAlign val="superscript"/>
            <sz val="10"/>
            <color indexed="81"/>
            <rFont val="Arial"/>
            <family val="2"/>
          </rPr>
          <t>.</t>
        </r>
        <r>
          <rPr>
            <sz val="10"/>
            <color indexed="81"/>
            <rFont val="Arial"/>
            <family val="2"/>
          </rPr>
          <t xml:space="preserve"> d </t>
        </r>
        <r>
          <rPr>
            <vertAlign val="superscript"/>
            <sz val="10"/>
            <color indexed="81"/>
            <rFont val="Arial"/>
            <family val="2"/>
          </rPr>
          <t>.</t>
        </r>
        <r>
          <rPr>
            <sz val="10"/>
            <color indexed="81"/>
            <rFont val="Arial"/>
            <family val="2"/>
          </rPr>
          <t xml:space="preserve"> [vkast(z)]</t>
        </r>
        <r>
          <rPr>
            <vertAlign val="superscript"/>
            <sz val="10"/>
            <color indexed="81"/>
            <rFont val="Arial"/>
            <family val="2"/>
          </rPr>
          <t>2</t>
        </r>
        <r>
          <rPr>
            <sz val="8"/>
            <color indexed="81"/>
            <rFont val="Tahoma"/>
            <family val="2"/>
          </rPr>
          <t xml:space="preserve">
</t>
        </r>
      </text>
    </comment>
    <comment ref="B33" authorId="0" shapeId="0" xr:uid="{00000000-0006-0000-0200-000018000000}">
      <text>
        <r>
          <rPr>
            <sz val="10"/>
            <color indexed="81"/>
            <rFont val="Arial"/>
            <family val="2"/>
          </rPr>
          <t xml:space="preserve">vkast(z) = vs(z) </t>
        </r>
        <r>
          <rPr>
            <vertAlign val="superscript"/>
            <sz val="10"/>
            <color indexed="81"/>
            <rFont val="Arial"/>
            <family val="2"/>
          </rPr>
          <t>.</t>
        </r>
        <r>
          <rPr>
            <sz val="10"/>
            <color indexed="81"/>
            <rFont val="Arial"/>
            <family val="2"/>
          </rPr>
          <t xml:space="preserve"> </t>
        </r>
        <r>
          <rPr>
            <b/>
            <sz val="10"/>
            <color indexed="81"/>
            <rFont val="Arial"/>
            <family val="2"/>
          </rPr>
          <t>rot</t>
        </r>
        <r>
          <rPr>
            <sz val="10"/>
            <color indexed="81"/>
            <rFont val="Arial"/>
            <family val="2"/>
          </rPr>
          <t xml:space="preserve">[1 + 2 </t>
        </r>
        <r>
          <rPr>
            <vertAlign val="superscript"/>
            <sz val="10"/>
            <color indexed="81"/>
            <rFont val="Arial"/>
            <family val="2"/>
          </rPr>
          <t>.</t>
        </r>
        <r>
          <rPr>
            <sz val="10"/>
            <color indexed="81"/>
            <rFont val="Arial"/>
            <family val="2"/>
          </rPr>
          <t xml:space="preserve"> kp </t>
        </r>
        <r>
          <rPr>
            <vertAlign val="superscript"/>
            <sz val="10"/>
            <color indexed="81"/>
            <rFont val="Arial"/>
            <family val="2"/>
          </rPr>
          <t>.</t>
        </r>
        <r>
          <rPr>
            <sz val="10"/>
            <color indexed="81"/>
            <rFont val="Arial"/>
            <family val="2"/>
          </rPr>
          <t xml:space="preserve"> Iv(z)]</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anilar</author>
    <author>Lars M Anisdahl</author>
  </authors>
  <commentList>
    <comment ref="H9" authorId="0" shapeId="0" xr:uid="{00000000-0006-0000-0400-000001000000}">
      <text>
        <r>
          <rPr>
            <sz val="10"/>
            <color indexed="81"/>
            <rFont val="Arial"/>
            <family val="2"/>
          </rPr>
          <t xml:space="preserve">Dersom takets underkonstruksjon (inkl. vegger og parapeter) regnes som luft-tett, settes virkningsgraden for utvendig last lik 0,8. Dette betyr at det virker en svak vakuum-sugekraft mot vindkreftene på takbelegget. Dette er dokumentert i TPF nr. 5.
For alle andre tilfeller settes virkningsgraden for utvendig last lik 1.
</t>
        </r>
      </text>
    </comment>
    <comment ref="H15" authorId="0" shapeId="0" xr:uid="{00000000-0006-0000-0400-000002000000}">
      <text>
        <r>
          <rPr>
            <sz val="10"/>
            <color indexed="81"/>
            <rFont val="Arial"/>
            <family val="2"/>
          </rPr>
          <t>Dersom takets underkonstruksjon (inkl. vegger og parapeter) regnes som luft-tett,  settes virkningsgraden for innvendig last lik 0. 
For alle andre tilfeller, antas det at taket har luftlekkasjer, og virkningsgraden for innvendig last settes lik 1.</t>
        </r>
      </text>
    </comment>
    <comment ref="H21" authorId="0" shapeId="0" xr:uid="{00000000-0006-0000-0400-000003000000}">
      <text>
        <r>
          <rPr>
            <sz val="10"/>
            <color indexed="81"/>
            <rFont val="Arial"/>
            <family val="2"/>
          </rPr>
          <t xml:space="preserve">Det må sjekkes om det finnes en innvendig vindlast i bygget. Luftlekkasjer ved for eksempel parapeter kan forårsake en slik innvendig vindlast som vil virke på takbelegget undenifra. For å forenkle, så deler vi dette inn i to tilfeller:
1) For en lukket bygning uten dominerende vindfasader: Her settes formfaktoren for innvendig last lik 0,2. Dette gjelder for de fleste bygninger. Dette er dokumentert i TPF nr. 5.
2) For en bygning med permanente åpninger og med minst en dominerende vindfasade: Her settes formfaktoren for innvendig last lik 0,7. Dette gjelder for spesielle bygninger som åpne lagerbygg. Dette er dokumentert i TPF nr 5.
Dersom arealet av åpninger i to fasader (vegger eller tak) begge er større enn 30% av fasadearealet, skal bygningen bli regnet som "et frittstående tak". Dette programmet kan ikke brukes for slike tilfeller. 
En fasade er en "dominerende vindfasade" dersom den har et areal av åpninger som er minst to ganger summen av arealet av åpninger i alle de andre fasadene tilsammen. </t>
        </r>
      </text>
    </comment>
    <comment ref="G26" authorId="1" shapeId="0" xr:uid="{00000000-0006-0000-0400-000004000000}">
      <text>
        <r>
          <rPr>
            <b/>
            <sz val="10"/>
            <color indexed="81"/>
            <rFont val="Arial"/>
            <family val="2"/>
          </rPr>
          <t>Dimensjonerende last &lt;= 3750 Pa</t>
        </r>
        <r>
          <rPr>
            <sz val="10"/>
            <color indexed="81"/>
            <rFont val="Arial"/>
            <family val="2"/>
          </rPr>
          <t xml:space="preserve">
Min. antall fester pr. m²: 1.
</t>
        </r>
        <r>
          <rPr>
            <b/>
            <sz val="10"/>
            <color indexed="81"/>
            <rFont val="Arial"/>
            <family val="2"/>
          </rPr>
          <t>Dimensjonerende last &gt; 3750 Pa</t>
        </r>
        <r>
          <rPr>
            <sz val="10"/>
            <color indexed="81"/>
            <rFont val="Arial"/>
            <family val="2"/>
          </rPr>
          <t xml:space="preserve">
Min. antall fester pr. m²: 2.
</t>
        </r>
      </text>
    </comment>
    <comment ref="H26" authorId="1" shapeId="0" xr:uid="{00000000-0006-0000-0400-000005000000}">
      <text>
        <r>
          <rPr>
            <b/>
            <sz val="10"/>
            <color indexed="81"/>
            <rFont val="Tahoma"/>
            <family val="2"/>
          </rPr>
          <t>Min. tillatt radavstand: 0.2 m.</t>
        </r>
        <r>
          <rPr>
            <sz val="8"/>
            <color indexed="81"/>
            <rFont val="Tahoma"/>
            <family val="2"/>
          </rPr>
          <t xml:space="preserve">
</t>
        </r>
        <r>
          <rPr>
            <b/>
            <sz val="10"/>
            <color indexed="81"/>
            <rFont val="Arial"/>
            <family val="2"/>
          </rPr>
          <t>Dimensjonerende last &lt;= 3750 Pa</t>
        </r>
        <r>
          <rPr>
            <sz val="10"/>
            <color indexed="81"/>
            <rFont val="Arial"/>
            <family val="2"/>
          </rPr>
          <t xml:space="preserve">
Maks. tillatt radavstand:
Hjørne- og randfelt: 1.0 m.
Midtfelt: Ingen krav.
</t>
        </r>
        <r>
          <rPr>
            <b/>
            <sz val="10"/>
            <color indexed="81"/>
            <rFont val="Arial"/>
            <family val="2"/>
          </rPr>
          <t>Dimensjonerende last &gt; 3750 Pa</t>
        </r>
        <r>
          <rPr>
            <sz val="10"/>
            <color indexed="81"/>
            <rFont val="Arial"/>
            <family val="2"/>
          </rPr>
          <t xml:space="preserve">
Maks. tillatt radavstand:
Hjørne- og randfelt: 0.6 m.
Midtfelt: 1.0 m.
Hvis cellene for radavstand blir røde, så betyr det at de beregnede verdiene er utenfor tillatt område. Det er opp til brukeren av programmet å bestemme hvorvidt dette er akseptabelt eller ikke.  Hensikten med å tillate brukeren å bestemme dette, er å gi litt frihet til "fornuftig teknisk vurdering". Det kan være nyttig hvis de beregnede verdiene er såvidt utenfor tillatt område.</t>
        </r>
      </text>
    </comment>
    <comment ref="I26" authorId="1" shapeId="0" xr:uid="{00000000-0006-0000-0400-000006000000}">
      <text>
        <r>
          <rPr>
            <b/>
            <sz val="10"/>
            <color indexed="81"/>
            <rFont val="Arial"/>
            <family val="2"/>
          </rPr>
          <t>Min. tillatt festeavstand: 0.2 m.</t>
        </r>
        <r>
          <rPr>
            <sz val="10"/>
            <color indexed="81"/>
            <rFont val="Arial"/>
            <family val="2"/>
          </rPr>
          <t xml:space="preserve">
</t>
        </r>
        <r>
          <rPr>
            <b/>
            <sz val="10"/>
            <color indexed="81"/>
            <rFont val="Arial"/>
            <family val="2"/>
          </rPr>
          <t>Dimensjonerende last &lt;= 3750 Pa</t>
        </r>
        <r>
          <rPr>
            <sz val="10"/>
            <color indexed="81"/>
            <rFont val="Arial"/>
            <family val="2"/>
          </rPr>
          <t xml:space="preserve">
Maks. tillatt festeavstand:
Hjørne- og randfelt: 1.0 m.
Midtfelt: Ingen krav.
</t>
        </r>
        <r>
          <rPr>
            <b/>
            <sz val="10"/>
            <color indexed="81"/>
            <rFont val="Arial"/>
            <family val="2"/>
          </rPr>
          <t>Dimensjonerende last &gt; 3750 Pa</t>
        </r>
        <r>
          <rPr>
            <sz val="10"/>
            <color indexed="81"/>
            <rFont val="Arial"/>
            <family val="2"/>
          </rPr>
          <t xml:space="preserve">
Maks. tillatt festeavstand:
Hjørne- og randfelt: 0.6 m.
Midtfelt: 1.0 m.
Hvis cellene for festeavstand blir røde, så betyr det at de beregnede verdiene er utenfor tillatt område. Det er opp til brukeren av programmet å bestemme hvorvidt dette er akseptabelt eller ikke.  Hensikten med å tillate brukeren å bestemme dette, er å gi litt frihet til "fornuftig teknisk vurdering". Det kan være nyttig hvis de beregnede verdiene er såvidt utenfor tillatt område.</t>
        </r>
      </text>
    </comment>
    <comment ref="G41" authorId="1" shapeId="0" xr:uid="{00000000-0006-0000-0400-000007000000}">
      <text>
        <r>
          <rPr>
            <b/>
            <sz val="10"/>
            <color indexed="81"/>
            <rFont val="Arial"/>
            <family val="2"/>
          </rPr>
          <t xml:space="preserve">Dimensjonerende last &lt;= 3750 Pa
</t>
        </r>
        <r>
          <rPr>
            <sz val="10"/>
            <color indexed="81"/>
            <rFont val="Arial"/>
            <family val="2"/>
          </rPr>
          <t>Min. antall fester pr. m²: 1.</t>
        </r>
        <r>
          <rPr>
            <b/>
            <sz val="10"/>
            <color indexed="81"/>
            <rFont val="Arial"/>
            <family val="2"/>
          </rPr>
          <t xml:space="preserve">
Dimensjonerende last &gt; 3750 Pa
</t>
        </r>
        <r>
          <rPr>
            <sz val="10"/>
            <color indexed="81"/>
            <rFont val="Arial"/>
            <family val="2"/>
          </rPr>
          <t>Min. antall fester pr. m²: 2.</t>
        </r>
        <r>
          <rPr>
            <b/>
            <sz val="10"/>
            <color indexed="81"/>
            <rFont val="Arial"/>
            <family val="2"/>
          </rPr>
          <t xml:space="preserve">
</t>
        </r>
        <r>
          <rPr>
            <sz val="10"/>
            <color indexed="81"/>
            <rFont val="Arial"/>
            <family val="2"/>
          </rPr>
          <t xml:space="preserve">
</t>
        </r>
      </text>
    </comment>
    <comment ref="H41" authorId="1" shapeId="0" xr:uid="{00000000-0006-0000-0400-000008000000}">
      <text>
        <r>
          <rPr>
            <b/>
            <sz val="10"/>
            <color indexed="81"/>
            <rFont val="Tahoma"/>
            <family val="2"/>
          </rPr>
          <t>Min. tillatt radavstand: 0.2 m.</t>
        </r>
        <r>
          <rPr>
            <sz val="10"/>
            <color indexed="81"/>
            <rFont val="Tahoma"/>
            <family val="2"/>
          </rPr>
          <t xml:space="preserve">
</t>
        </r>
        <r>
          <rPr>
            <b/>
            <sz val="10"/>
            <color indexed="81"/>
            <rFont val="Tahoma"/>
            <family val="2"/>
          </rPr>
          <t>Dimensjonerende last &lt;= 3750 Pa</t>
        </r>
        <r>
          <rPr>
            <sz val="10"/>
            <color indexed="81"/>
            <rFont val="Tahoma"/>
            <family val="2"/>
          </rPr>
          <t xml:space="preserve">
Maks. tillatt radavstand:
Hjørne- og randfelt: 1.0 m.
Midtfelt: Ingen krav.
</t>
        </r>
        <r>
          <rPr>
            <b/>
            <sz val="10"/>
            <color indexed="81"/>
            <rFont val="Tahoma"/>
            <family val="2"/>
          </rPr>
          <t>Dimensjonerende last &gt; 3750 Pa</t>
        </r>
        <r>
          <rPr>
            <sz val="10"/>
            <color indexed="81"/>
            <rFont val="Tahoma"/>
            <family val="2"/>
          </rPr>
          <t xml:space="preserve">
Maks. tillatt radavstand:
Hjørne- og randfelt: 0.6 m.
Midtfelt: 1.0 m.
Hvis cellene for radavstand blir røde, så betyr det at de beregnede verdiene er utenfor tillatt område. Det er opp til brukeren av programmet å bestemme hvorvidt dette er akseptabelt eller ikke.  Hensikten med å tillate brukeren å bestemme dette, er å gi litt frihet til "fornuftig teknisk vurdering". Det kan være nyttig hvis de beregnede verdiene er såvidt utenfor tillatt område.</t>
        </r>
      </text>
    </comment>
    <comment ref="I41" authorId="1" shapeId="0" xr:uid="{00000000-0006-0000-0400-000009000000}">
      <text>
        <r>
          <rPr>
            <b/>
            <sz val="10"/>
            <color indexed="81"/>
            <rFont val="Arial"/>
            <family val="2"/>
          </rPr>
          <t xml:space="preserve">Min. tillatt festeavstand: 0.2 m.
Dimensjonerende last &lt;= 3750 Pa
</t>
        </r>
        <r>
          <rPr>
            <sz val="10"/>
            <color indexed="81"/>
            <rFont val="Arial"/>
            <family val="2"/>
          </rPr>
          <t>Maks. tillatt festeavstand:
Hjørne- og randfelt: 1.0 m.
Midtfelt: Ingen krav.</t>
        </r>
        <r>
          <rPr>
            <b/>
            <sz val="10"/>
            <color indexed="81"/>
            <rFont val="Arial"/>
            <family val="2"/>
          </rPr>
          <t xml:space="preserve">
Dimensjonerende last &gt; 3750 Pa
</t>
        </r>
        <r>
          <rPr>
            <sz val="10"/>
            <color indexed="81"/>
            <rFont val="Arial"/>
            <family val="2"/>
          </rPr>
          <t>Maks. tillatt festeavstand:
Hjørne- og randfelt: 0.6 m.
Midtfelt: 1.0 m.
Hvis cellene for festeavstand blir røde, så betyr det at de beregnede verdiene er utenfor tillatt område. Det er opp til brukeren av programmet å bestemme hvorvidt dette er akseptabelt eller ikke.  Hensikten med å tillate brukeren å bestemme dette, er å gi litt frihet til "fornuftig teknisk vurdering". Det kan være nyttig hvis de beregnede verdiene er såvidt utenfor tillatt område.</t>
        </r>
      </text>
    </comment>
  </commentList>
</comments>
</file>

<file path=xl/sharedStrings.xml><?xml version="1.0" encoding="utf-8"?>
<sst xmlns="http://schemas.openxmlformats.org/spreadsheetml/2006/main" count="1117" uniqueCount="619">
  <si>
    <t>kT</t>
  </si>
  <si>
    <t>z0 (m)</t>
  </si>
  <si>
    <t>zmin (m)</t>
  </si>
  <si>
    <t>a</t>
  </si>
  <si>
    <t>kvirk</t>
  </si>
  <si>
    <t>ct(0)</t>
  </si>
  <si>
    <t>Midtfelt</t>
  </si>
  <si>
    <t>ctt</t>
  </si>
  <si>
    <t>vref (m/s)</t>
  </si>
  <si>
    <t>b (m)</t>
  </si>
  <si>
    <t>d (m)</t>
  </si>
  <si>
    <t>A (m²)</t>
  </si>
  <si>
    <t>(m)</t>
  </si>
  <si>
    <t>Takbelegg</t>
  </si>
  <si>
    <t>Lok. bredde
LH (m)</t>
  </si>
  <si>
    <t>Lok. avst.
X (m)</t>
  </si>
  <si>
    <t>Lok. høyde
H (m)</t>
  </si>
  <si>
    <t>DSz,max</t>
  </si>
  <si>
    <t>Fester pr. m²</t>
  </si>
  <si>
    <t>Indeks</t>
  </si>
  <si>
    <t>Underlag</t>
  </si>
  <si>
    <t>Hjørne</t>
  </si>
  <si>
    <t>Rand</t>
  </si>
  <si>
    <t>Midt</t>
  </si>
  <si>
    <t>Taktype</t>
  </si>
  <si>
    <t>Sal tak møne</t>
  </si>
  <si>
    <t>Pult tak høy</t>
  </si>
  <si>
    <t>h (m)</t>
  </si>
  <si>
    <t>Indeks Bygg!o22</t>
  </si>
  <si>
    <t xml:space="preserve">Sign: </t>
  </si>
  <si>
    <t>vref</t>
  </si>
  <si>
    <t>Flat roof</t>
  </si>
  <si>
    <t>Cupola</t>
  </si>
  <si>
    <t>Barreled vault roof</t>
  </si>
  <si>
    <t>Duopitched roof</t>
  </si>
  <si>
    <t>Monopitched roof</t>
  </si>
  <si>
    <t>indeks</t>
  </si>
  <si>
    <t>FRA STANDARDEN</t>
  </si>
  <si>
    <t>Prosjekt</t>
  </si>
  <si>
    <t>Bygg</t>
  </si>
  <si>
    <t>Gateadresse</t>
  </si>
  <si>
    <t>Postnummer</t>
  </si>
  <si>
    <t>Poststed</t>
  </si>
  <si>
    <t>Byggets bredde (m)</t>
  </si>
  <si>
    <t>Byggets dybde (m)</t>
  </si>
  <si>
    <t>Byggets høyde (m)</t>
  </si>
  <si>
    <t>Takhøyde for pult- og sal tak (m)</t>
  </si>
  <si>
    <t>Takets areal (m²)</t>
  </si>
  <si>
    <t>Mønefeltbredde (m)</t>
  </si>
  <si>
    <t>Areal mønefelt (m²)</t>
  </si>
  <si>
    <t>Areal midtfelt (m²)</t>
  </si>
  <si>
    <t>Areal randfelt (m²)</t>
  </si>
  <si>
    <t>Areal hjørnefelt (m²)</t>
  </si>
  <si>
    <t>Hjørnefeltlengde (m)</t>
  </si>
  <si>
    <t>Randfeltbredde (m)</t>
  </si>
  <si>
    <t>Bygningstype</t>
  </si>
  <si>
    <t>Takform</t>
  </si>
  <si>
    <t>Fylke</t>
  </si>
  <si>
    <t>Kommune</t>
  </si>
  <si>
    <t>Ref. vindhast., vref (m/s)</t>
  </si>
  <si>
    <t>Ho (m)</t>
  </si>
  <si>
    <t>Htopp (m)</t>
  </si>
  <si>
    <t>Hgrense (m)</t>
  </si>
  <si>
    <t>Høyde over havet (m)</t>
  </si>
  <si>
    <t>Tabell A.1 - Referansevindhastighet (vref) for kommunene</t>
  </si>
  <si>
    <t>Kommune
nr</t>
  </si>
  <si>
    <r>
      <t>vref</t>
    </r>
    <r>
      <rPr>
        <b/>
        <vertAlign val="subscript"/>
        <sz val="10"/>
        <rFont val="Arial"/>
        <family val="2"/>
      </rPr>
      <t xml:space="preserve"> 
</t>
    </r>
    <r>
      <rPr>
        <b/>
        <sz val="10"/>
        <rFont val="Arial"/>
        <family val="2"/>
      </rPr>
      <t>(m/s)</t>
    </r>
  </si>
  <si>
    <t>Agdenes</t>
  </si>
  <si>
    <t>Sør-Trøndelag</t>
  </si>
  <si>
    <t>Alstahaug</t>
  </si>
  <si>
    <t>Nordland</t>
  </si>
  <si>
    <t>Alta</t>
  </si>
  <si>
    <t>Finnmark</t>
  </si>
  <si>
    <t>Alvdal</t>
  </si>
  <si>
    <t>Hedmark</t>
  </si>
  <si>
    <t>Andebu</t>
  </si>
  <si>
    <t>Vestfold</t>
  </si>
  <si>
    <t>Andøy</t>
  </si>
  <si>
    <t>Aremark</t>
  </si>
  <si>
    <t>Østfold</t>
  </si>
  <si>
    <t>Arendal</t>
  </si>
  <si>
    <t>Aust-Agder</t>
  </si>
  <si>
    <t>Asker</t>
  </si>
  <si>
    <t>Akershus</t>
  </si>
  <si>
    <t>Askim</t>
  </si>
  <si>
    <t>Askvoll</t>
  </si>
  <si>
    <t>Sogn og Fjordane</t>
  </si>
  <si>
    <t>Askøy</t>
  </si>
  <si>
    <t>Hordaland</t>
  </si>
  <si>
    <t>Audnedal</t>
  </si>
  <si>
    <t>Vest-Agder</t>
  </si>
  <si>
    <t>Aukra</t>
  </si>
  <si>
    <t>Møre og Romsdal</t>
  </si>
  <si>
    <t>Aure</t>
  </si>
  <si>
    <t>Aurland</t>
  </si>
  <si>
    <t>Aurskog-Høland</t>
  </si>
  <si>
    <t>Austevoll</t>
  </si>
  <si>
    <t>Austrheim</t>
  </si>
  <si>
    <t>Averøy</t>
  </si>
  <si>
    <t>Balestrand</t>
  </si>
  <si>
    <t>Ballangen</t>
  </si>
  <si>
    <t>Balsfjord</t>
  </si>
  <si>
    <t>Troms</t>
  </si>
  <si>
    <t>Bamble</t>
  </si>
  <si>
    <t>Telemark</t>
  </si>
  <si>
    <t>Bardu</t>
  </si>
  <si>
    <t>Beiarn</t>
  </si>
  <si>
    <t>Berg</t>
  </si>
  <si>
    <t>Bergen</t>
  </si>
  <si>
    <t>Berlevåg</t>
  </si>
  <si>
    <t>Bindal</t>
  </si>
  <si>
    <t>Birkenes</t>
  </si>
  <si>
    <t>Bjarkøy</t>
  </si>
  <si>
    <t>Bjerkreim</t>
  </si>
  <si>
    <t>Rogaland</t>
  </si>
  <si>
    <t>Bjugn</t>
  </si>
  <si>
    <t>Bodø</t>
  </si>
  <si>
    <t>Bokn</t>
  </si>
  <si>
    <t>Borre</t>
  </si>
  <si>
    <t>Bremanger</t>
  </si>
  <si>
    <t>Brønnøy</t>
  </si>
  <si>
    <t>Bygland</t>
  </si>
  <si>
    <t>Bykle</t>
  </si>
  <si>
    <t>Bærum</t>
  </si>
  <si>
    <t>Bø</t>
  </si>
  <si>
    <t>Bømlo</t>
  </si>
  <si>
    <t>Båtsfjord</t>
  </si>
  <si>
    <t>Dovre</t>
  </si>
  <si>
    <t>Oppland</t>
  </si>
  <si>
    <t>Drammen</t>
  </si>
  <si>
    <t>Buskerud</t>
  </si>
  <si>
    <t>Drangedal</t>
  </si>
  <si>
    <t>Dyrøy</t>
  </si>
  <si>
    <t>Dønna</t>
  </si>
  <si>
    <t>Eid</t>
  </si>
  <si>
    <t>Eide</t>
  </si>
  <si>
    <t>Eidfjord</t>
  </si>
  <si>
    <t>Eidsberg</t>
  </si>
  <si>
    <t>Eidskog</t>
  </si>
  <si>
    <t>Eidsvoll</t>
  </si>
  <si>
    <t>Eigersund</t>
  </si>
  <si>
    <t>Elverum</t>
  </si>
  <si>
    <t>Enebakk</t>
  </si>
  <si>
    <t>Engerdal</t>
  </si>
  <si>
    <t>Etne</t>
  </si>
  <si>
    <t>Etnedal</t>
  </si>
  <si>
    <t>Evenes</t>
  </si>
  <si>
    <t>Evje og Hornes</t>
  </si>
  <si>
    <t>Farsund</t>
  </si>
  <si>
    <t>Fauske</t>
  </si>
  <si>
    <t>Fedje</t>
  </si>
  <si>
    <t>Fet</t>
  </si>
  <si>
    <t>Finnøy</t>
  </si>
  <si>
    <t>Fitjar</t>
  </si>
  <si>
    <t>Fjaler</t>
  </si>
  <si>
    <t>Fjell</t>
  </si>
  <si>
    <t>Flakstad</t>
  </si>
  <si>
    <t>Flatanger</t>
  </si>
  <si>
    <t>Nord-Trøndelag</t>
  </si>
  <si>
    <t>Flekkefjord</t>
  </si>
  <si>
    <t>Flesberg</t>
  </si>
  <si>
    <t>Flora</t>
  </si>
  <si>
    <t>Flå</t>
  </si>
  <si>
    <t xml:space="preserve">Folldal </t>
  </si>
  <si>
    <t>Forsand</t>
  </si>
  <si>
    <t>Fosnes</t>
  </si>
  <si>
    <t>Fredrikstad</t>
  </si>
  <si>
    <t>Frei</t>
  </si>
  <si>
    <t>Frogn</t>
  </si>
  <si>
    <t>Froland</t>
  </si>
  <si>
    <t>Frosta</t>
  </si>
  <si>
    <t>Fræna</t>
  </si>
  <si>
    <t>Frøya</t>
  </si>
  <si>
    <t>Fusa</t>
  </si>
  <si>
    <t>Fyresdal</t>
  </si>
  <si>
    <t>Førde</t>
  </si>
  <si>
    <t>Gamvik</t>
  </si>
  <si>
    <t>Gaular</t>
  </si>
  <si>
    <t>Gausdal</t>
  </si>
  <si>
    <t>Gildeskål</t>
  </si>
  <si>
    <t>Giske</t>
  </si>
  <si>
    <t>Gjemnes</t>
  </si>
  <si>
    <t>Gjerdrum</t>
  </si>
  <si>
    <t>Gjerstad</t>
  </si>
  <si>
    <t>Gjesdal</t>
  </si>
  <si>
    <t>Gjøvik</t>
  </si>
  <si>
    <t>Gloppen</t>
  </si>
  <si>
    <t>Gol</t>
  </si>
  <si>
    <t>Gran</t>
  </si>
  <si>
    <t>Grane</t>
  </si>
  <si>
    <t>Granvin</t>
  </si>
  <si>
    <t>Gratangen</t>
  </si>
  <si>
    <t>Grimstad</t>
  </si>
  <si>
    <t>Grong</t>
  </si>
  <si>
    <t>Grue</t>
  </si>
  <si>
    <t>Gulen</t>
  </si>
  <si>
    <t>Hadsel</t>
  </si>
  <si>
    <t>Halden</t>
  </si>
  <si>
    <t>Halsa</t>
  </si>
  <si>
    <t>Hamar</t>
  </si>
  <si>
    <t>Hamarøy</t>
  </si>
  <si>
    <t>Hammerfest</t>
  </si>
  <si>
    <t>Haram</t>
  </si>
  <si>
    <t>Hareid</t>
  </si>
  <si>
    <t>Harstad</t>
  </si>
  <si>
    <t>Hasvik</t>
  </si>
  <si>
    <t>Hattfjelldal</t>
  </si>
  <si>
    <t>Haugesund</t>
  </si>
  <si>
    <t>Hemne</t>
  </si>
  <si>
    <t>Hemnes</t>
  </si>
  <si>
    <t>Hemsedal</t>
  </si>
  <si>
    <t>Herøy</t>
  </si>
  <si>
    <t>Hitra</t>
  </si>
  <si>
    <t>Hjartdal</t>
  </si>
  <si>
    <t>Hjelmeland</t>
  </si>
  <si>
    <t>Hobøl</t>
  </si>
  <si>
    <t>Hof</t>
  </si>
  <si>
    <t>Hol</t>
  </si>
  <si>
    <t>Hole</t>
  </si>
  <si>
    <t>Holmestrand</t>
  </si>
  <si>
    <t>Holtålen</t>
  </si>
  <si>
    <t>Hornindal</t>
  </si>
  <si>
    <t>Hurdal</t>
  </si>
  <si>
    <t>Hurum</t>
  </si>
  <si>
    <t>Hvaler</t>
  </si>
  <si>
    <t>Hyllestad</t>
  </si>
  <si>
    <t>Hægebostad</t>
  </si>
  <si>
    <t>Høyanger</t>
  </si>
  <si>
    <t>Høylandet</t>
  </si>
  <si>
    <t>Hå</t>
  </si>
  <si>
    <t>Ibestad</t>
  </si>
  <si>
    <t>Inderøy</t>
  </si>
  <si>
    <t>Iveland</t>
  </si>
  <si>
    <t>Jevnaker</t>
  </si>
  <si>
    <t>Jondal</t>
  </si>
  <si>
    <t>Jølster</t>
  </si>
  <si>
    <t>Karasjok</t>
  </si>
  <si>
    <t>Karlsøy</t>
  </si>
  <si>
    <t>Karmøy</t>
  </si>
  <si>
    <t>Kautokeino</t>
  </si>
  <si>
    <t>Klepp</t>
  </si>
  <si>
    <t>Klæbu</t>
  </si>
  <si>
    <t>Kongsberg</t>
  </si>
  <si>
    <t>Kongsvinger</t>
  </si>
  <si>
    <t>Kragerø</t>
  </si>
  <si>
    <t>Kristiansand</t>
  </si>
  <si>
    <t>Kristiansund</t>
  </si>
  <si>
    <t>Krødsherad</t>
  </si>
  <si>
    <t>Kvalsund</t>
  </si>
  <si>
    <t>Kvam</t>
  </si>
  <si>
    <t>Kvinesdal</t>
  </si>
  <si>
    <t>Kvinnherad</t>
  </si>
  <si>
    <t>Kviteseid</t>
  </si>
  <si>
    <t>Kvitsøy</t>
  </si>
  <si>
    <t>Kvæfjord</t>
  </si>
  <si>
    <t>Kvænangen</t>
  </si>
  <si>
    <t>Kåfjord</t>
  </si>
  <si>
    <t>Lardal</t>
  </si>
  <si>
    <t>Larvik</t>
  </si>
  <si>
    <t>Lavangen</t>
  </si>
  <si>
    <t>Lebesby</t>
  </si>
  <si>
    <t>Leikanger</t>
  </si>
  <si>
    <t>Leirfjord</t>
  </si>
  <si>
    <t>Leka</t>
  </si>
  <si>
    <t>Leksvik</t>
  </si>
  <si>
    <t>Lenvik</t>
  </si>
  <si>
    <t>Lesja</t>
  </si>
  <si>
    <t>Levanger</t>
  </si>
  <si>
    <t>Lier</t>
  </si>
  <si>
    <t>Lierne</t>
  </si>
  <si>
    <t>Lillehammer</t>
  </si>
  <si>
    <t>Lillesand</t>
  </si>
  <si>
    <t>Lindesnes</t>
  </si>
  <si>
    <t>Lindås</t>
  </si>
  <si>
    <t>Lom</t>
  </si>
  <si>
    <t>Loppa</t>
  </si>
  <si>
    <t>Lund</t>
  </si>
  <si>
    <t>Lunner</t>
  </si>
  <si>
    <t>Lurøy</t>
  </si>
  <si>
    <t>Luster</t>
  </si>
  <si>
    <t>Lyngdal</t>
  </si>
  <si>
    <t>Lyngen</t>
  </si>
  <si>
    <t>Lærdal</t>
  </si>
  <si>
    <t>Lødingen</t>
  </si>
  <si>
    <t>Lørenskog</t>
  </si>
  <si>
    <t>Løten</t>
  </si>
  <si>
    <t>Malvik</t>
  </si>
  <si>
    <t>Mandal</t>
  </si>
  <si>
    <t>Marker</t>
  </si>
  <si>
    <t>Marnardal</t>
  </si>
  <si>
    <t>Masfjorden</t>
  </si>
  <si>
    <t>Meland</t>
  </si>
  <si>
    <t>Meldal</t>
  </si>
  <si>
    <t>Melhus</t>
  </si>
  <si>
    <t>Meløy</t>
  </si>
  <si>
    <t>Meråker</t>
  </si>
  <si>
    <t>Midsund</t>
  </si>
  <si>
    <t>Midtre Gauldal</t>
  </si>
  <si>
    <t>Modalen</t>
  </si>
  <si>
    <t>Modum</t>
  </si>
  <si>
    <t>Molde</t>
  </si>
  <si>
    <t>Moskenes</t>
  </si>
  <si>
    <t>Moss</t>
  </si>
  <si>
    <t>Mosvik</t>
  </si>
  <si>
    <t>Målselv</t>
  </si>
  <si>
    <t>Måsøy</t>
  </si>
  <si>
    <t>Namdalseid</t>
  </si>
  <si>
    <t>Namsos</t>
  </si>
  <si>
    <t>Namsskogan</t>
  </si>
  <si>
    <t>Nannestad</t>
  </si>
  <si>
    <t>Narvik</t>
  </si>
  <si>
    <t>Naustdal</t>
  </si>
  <si>
    <t>Nedre Eiker</t>
  </si>
  <si>
    <t>Nes</t>
  </si>
  <si>
    <t>Nesna</t>
  </si>
  <si>
    <t>Nesodden</t>
  </si>
  <si>
    <t>Nesseby</t>
  </si>
  <si>
    <t>Nesset</t>
  </si>
  <si>
    <t>Nissedal</t>
  </si>
  <si>
    <t>Nittedal</t>
  </si>
  <si>
    <t>Nome</t>
  </si>
  <si>
    <t>Nord-Aurdal</t>
  </si>
  <si>
    <t>Norddal</t>
  </si>
  <si>
    <t>Nord-Fron</t>
  </si>
  <si>
    <t>Nordkapp</t>
  </si>
  <si>
    <t>Nord-Odal</t>
  </si>
  <si>
    <t>Nordre Land</t>
  </si>
  <si>
    <t>Nordreisa</t>
  </si>
  <si>
    <t>Nore og Uvdal</t>
  </si>
  <si>
    <t>Notodden</t>
  </si>
  <si>
    <t>Nærøy</t>
  </si>
  <si>
    <t>Nøtterøy</t>
  </si>
  <si>
    <t>Odda</t>
  </si>
  <si>
    <t>Oppdal</t>
  </si>
  <si>
    <t>Oppegård</t>
  </si>
  <si>
    <t>Orkdal</t>
  </si>
  <si>
    <t>Os</t>
  </si>
  <si>
    <t>Osen</t>
  </si>
  <si>
    <t>Oslo</t>
  </si>
  <si>
    <t>Osterøy</t>
  </si>
  <si>
    <t>Overhalla</t>
  </si>
  <si>
    <t>Porsanger</t>
  </si>
  <si>
    <t>Porsgrunn</t>
  </si>
  <si>
    <t>Radøy</t>
  </si>
  <si>
    <t>Rakkestad</t>
  </si>
  <si>
    <t>Ramnes</t>
  </si>
  <si>
    <t>Rana</t>
  </si>
  <si>
    <t>Randaberg</t>
  </si>
  <si>
    <t>Rauma</t>
  </si>
  <si>
    <t>Rendalen</t>
  </si>
  <si>
    <t>Rennebu</t>
  </si>
  <si>
    <t>Rennesøy</t>
  </si>
  <si>
    <t>Rindal</t>
  </si>
  <si>
    <t>Ringebu</t>
  </si>
  <si>
    <t>Ringerike</t>
  </si>
  <si>
    <t>Ringsaker</t>
  </si>
  <si>
    <t>Rissa</t>
  </si>
  <si>
    <t>Risør</t>
  </si>
  <si>
    <t>Roan</t>
  </si>
  <si>
    <t>Rollag</t>
  </si>
  <si>
    <t>Rygge</t>
  </si>
  <si>
    <t>Rælingen</t>
  </si>
  <si>
    <t>Rødøy</t>
  </si>
  <si>
    <t>Rømskog</t>
  </si>
  <si>
    <t>Røros</t>
  </si>
  <si>
    <t>Røst</t>
  </si>
  <si>
    <t>Røyken</t>
  </si>
  <si>
    <t>Røyrvik</t>
  </si>
  <si>
    <t>Råde</t>
  </si>
  <si>
    <t>Salangen</t>
  </si>
  <si>
    <t>Saltdal</t>
  </si>
  <si>
    <t>Samnanger</t>
  </si>
  <si>
    <t>Sande</t>
  </si>
  <si>
    <t>Sandefjord</t>
  </si>
  <si>
    <t>Sandnes</t>
  </si>
  <si>
    <t>Sandøy</t>
  </si>
  <si>
    <t>Sarpsborg</t>
  </si>
  <si>
    <t>Sauda</t>
  </si>
  <si>
    <t>Sauherad</t>
  </si>
  <si>
    <t>Sel</t>
  </si>
  <si>
    <t>Selbu</t>
  </si>
  <si>
    <t>Selje</t>
  </si>
  <si>
    <t>Seljord</t>
  </si>
  <si>
    <t>Sigdal</t>
  </si>
  <si>
    <t>Siljan</t>
  </si>
  <si>
    <t>Sirdal</t>
  </si>
  <si>
    <t>Skaun</t>
  </si>
  <si>
    <t>Skedsmo</t>
  </si>
  <si>
    <t>Ski</t>
  </si>
  <si>
    <t>Skien</t>
  </si>
  <si>
    <t>Skiptvedt</t>
  </si>
  <si>
    <t>Skjerstad</t>
  </si>
  <si>
    <t>Skjervøy</t>
  </si>
  <si>
    <t>Skjåk</t>
  </si>
  <si>
    <t>Skodje</t>
  </si>
  <si>
    <t>Skånland</t>
  </si>
  <si>
    <t>Smøla</t>
  </si>
  <si>
    <t>Snillfjord</t>
  </si>
  <si>
    <t>Snåsa</t>
  </si>
  <si>
    <t>Sogndal</t>
  </si>
  <si>
    <t>Sokndal</t>
  </si>
  <si>
    <t>Sola</t>
  </si>
  <si>
    <t>Solund</t>
  </si>
  <si>
    <t>Songdalen</t>
  </si>
  <si>
    <t>Sortland</t>
  </si>
  <si>
    <t>Spydberg</t>
  </si>
  <si>
    <t>Stange</t>
  </si>
  <si>
    <t>Stavanger</t>
  </si>
  <si>
    <t>Steigen</t>
  </si>
  <si>
    <t>Steinkjer</t>
  </si>
  <si>
    <t>Stjørdal</t>
  </si>
  <si>
    <t>Stokke</t>
  </si>
  <si>
    <t>Stord</t>
  </si>
  <si>
    <t>Stordal</t>
  </si>
  <si>
    <t>Stor-Elvdal</t>
  </si>
  <si>
    <t>Storfjord</t>
  </si>
  <si>
    <t>Strand</t>
  </si>
  <si>
    <t>Stranda</t>
  </si>
  <si>
    <t>Stryn</t>
  </si>
  <si>
    <t>Sula</t>
  </si>
  <si>
    <t>Suldal</t>
  </si>
  <si>
    <t>Sund</t>
  </si>
  <si>
    <t>Sunndal</t>
  </si>
  <si>
    <t>Surnadal</t>
  </si>
  <si>
    <t>Svalbard</t>
  </si>
  <si>
    <t>Sveio</t>
  </si>
  <si>
    <t>Svelvik</t>
  </si>
  <si>
    <t>Sykkylven</t>
  </si>
  <si>
    <t>Søgne</t>
  </si>
  <si>
    <t>Sømna</t>
  </si>
  <si>
    <t>Søndre Land</t>
  </si>
  <si>
    <t>Sør-Aurdal</t>
  </si>
  <si>
    <t>Sørfold</t>
  </si>
  <si>
    <t>Sør-Fron</t>
  </si>
  <si>
    <t>Sør-Odal</t>
  </si>
  <si>
    <t>Sørreisa</t>
  </si>
  <si>
    <t>Sørum</t>
  </si>
  <si>
    <t>Sør-Varanger</t>
  </si>
  <si>
    <t>Tana</t>
  </si>
  <si>
    <t>Time</t>
  </si>
  <si>
    <t>Tingvoll</t>
  </si>
  <si>
    <t>Tinn</t>
  </si>
  <si>
    <t>Tjeldsund</t>
  </si>
  <si>
    <t>Tjøme</t>
  </si>
  <si>
    <t>Tokke</t>
  </si>
  <si>
    <t>Tolga</t>
  </si>
  <si>
    <t>Torsken</t>
  </si>
  <si>
    <t>Tranøy</t>
  </si>
  <si>
    <t>Tromsø</t>
  </si>
  <si>
    <t>Trondheim</t>
  </si>
  <si>
    <t>Trysil</t>
  </si>
  <si>
    <t>Træna</t>
  </si>
  <si>
    <t>Trøgstad</t>
  </si>
  <si>
    <t>Tustna</t>
  </si>
  <si>
    <t>Tvedestrand</t>
  </si>
  <si>
    <t>Tydal</t>
  </si>
  <si>
    <t>Tynset</t>
  </si>
  <si>
    <t>Tysfjord</t>
  </si>
  <si>
    <t>Tysnes</t>
  </si>
  <si>
    <t>Tysvær</t>
  </si>
  <si>
    <t>Tønsberg</t>
  </si>
  <si>
    <t>Ullensaker</t>
  </si>
  <si>
    <t>Ullensvang</t>
  </si>
  <si>
    <t>Ulstein</t>
  </si>
  <si>
    <t>Ulvik</t>
  </si>
  <si>
    <t>Utsira</t>
  </si>
  <si>
    <t>Vadsø</t>
  </si>
  <si>
    <t>Vaksdal</t>
  </si>
  <si>
    <t>Valle</t>
  </si>
  <si>
    <t>Vang</t>
  </si>
  <si>
    <t>Vanylven</t>
  </si>
  <si>
    <t>Vardø</t>
  </si>
  <si>
    <t>Vefsn</t>
  </si>
  <si>
    <t>Vega</t>
  </si>
  <si>
    <t>Vegårshei</t>
  </si>
  <si>
    <t>Vennesla</t>
  </si>
  <si>
    <t>Verdal</t>
  </si>
  <si>
    <t>Verran</t>
  </si>
  <si>
    <t>Vestby</t>
  </si>
  <si>
    <t>Vestnes</t>
  </si>
  <si>
    <t>Vestre Slidre</t>
  </si>
  <si>
    <t>Vestre Toten</t>
  </si>
  <si>
    <t>Vestvågøy</t>
  </si>
  <si>
    <t>Vevelstad</t>
  </si>
  <si>
    <t>Vik</t>
  </si>
  <si>
    <t>Vikna</t>
  </si>
  <si>
    <t>Vindafjord</t>
  </si>
  <si>
    <t>Vinje</t>
  </si>
  <si>
    <t>Volda</t>
  </si>
  <si>
    <t>Voss</t>
  </si>
  <si>
    <t>Værøy</t>
  </si>
  <si>
    <t>Vågan</t>
  </si>
  <si>
    <t>Vågsøy</t>
  </si>
  <si>
    <t>Vågå</t>
  </si>
  <si>
    <t>Våle</t>
  </si>
  <si>
    <t>Våler</t>
  </si>
  <si>
    <t>Øksnes</t>
  </si>
  <si>
    <t>Ølen</t>
  </si>
  <si>
    <t>Ørland</t>
  </si>
  <si>
    <t>Ørskog</t>
  </si>
  <si>
    <t>Ørsta</t>
  </si>
  <si>
    <t>Østre Toten</t>
  </si>
  <si>
    <t>Øvre Eiker</t>
  </si>
  <si>
    <t>Øyer</t>
  </si>
  <si>
    <t>Øygarden</t>
  </si>
  <si>
    <t>Øystre Slidre</t>
  </si>
  <si>
    <t>Åfjord</t>
  </si>
  <si>
    <t>Ål</t>
  </si>
  <si>
    <t>Ålesund</t>
  </si>
  <si>
    <t>Åmli</t>
  </si>
  <si>
    <t>Åmot</t>
  </si>
  <si>
    <t>Årdal</t>
  </si>
  <si>
    <t>Ås</t>
  </si>
  <si>
    <t>Åseral</t>
  </si>
  <si>
    <t>Åsnes</t>
  </si>
  <si>
    <t>Velg kommune</t>
  </si>
  <si>
    <t>Flatt tak</t>
  </si>
  <si>
    <t>Pult tak</t>
  </si>
  <si>
    <t>Sal tak</t>
  </si>
  <si>
    <t>Buet tak</t>
  </si>
  <si>
    <t>Kuppel</t>
  </si>
  <si>
    <t>Kategori</t>
  </si>
  <si>
    <t>Helning
(grader)</t>
  </si>
  <si>
    <t>Forhold
H/LH</t>
  </si>
  <si>
    <t>Referansevindhastighet, vref (m/s)</t>
  </si>
  <si>
    <t>Byggets høyde, z (m)</t>
  </si>
  <si>
    <t>Basisvindhastighet, vb (m/s)</t>
  </si>
  <si>
    <t>Byggets vind-ekv. høyde, z* (m)</t>
  </si>
  <si>
    <t>Topografifaktor, ct(z)</t>
  </si>
  <si>
    <t>Terrengruhetsfaktor, cr(z)</t>
  </si>
  <si>
    <t>Turbulensintensitet, Iv(z)</t>
  </si>
  <si>
    <t>Stedsvindhastighet, vs(z) (m/s)</t>
  </si>
  <si>
    <t>Topografifaktor, ctt</t>
  </si>
  <si>
    <t>Retningsfaktor, cret</t>
  </si>
  <si>
    <t>Årstidsfaktor, cårs</t>
  </si>
  <si>
    <t>Nivåfaktor, choh</t>
  </si>
  <si>
    <t>Statistisk faktor, csan</t>
  </si>
  <si>
    <t>Luftdensitet, d (kg/m³)</t>
  </si>
  <si>
    <t>Toppfaktor, kp</t>
  </si>
  <si>
    <t>Reduksjonsfaktor</t>
  </si>
  <si>
    <t>Lastfaktor</t>
  </si>
  <si>
    <t>Faktor k1</t>
  </si>
  <si>
    <t>Faktor k2</t>
  </si>
  <si>
    <t>Beregnet qk0</t>
  </si>
  <si>
    <t>Returperiode (år)</t>
  </si>
  <si>
    <t>Manuell verdi, qkast (Pa)</t>
  </si>
  <si>
    <t>Vindkasthastighetstrykk, qkast (Pa)</t>
  </si>
  <si>
    <t>Vindkasthastighet, vkast(z) (m/s)</t>
  </si>
  <si>
    <t>qkast iht. til tillegg E</t>
  </si>
  <si>
    <t>Kapasitet (N)</t>
  </si>
  <si>
    <t>Overlapp (m)</t>
  </si>
  <si>
    <t>Festemiddel</t>
  </si>
  <si>
    <t>Hjørne- og randfelt</t>
  </si>
  <si>
    <t>Bygnings-type</t>
  </si>
  <si>
    <t>Takets areal, (m²)</t>
  </si>
  <si>
    <t>Midfelt areal, (m²)</t>
  </si>
  <si>
    <t>R-, H-, M- 
areal, (m²)</t>
  </si>
  <si>
    <t>Randfelt-bredde, (m)</t>
  </si>
  <si>
    <t>Hjørnefelt-lengde, (m)</t>
  </si>
  <si>
    <t>Mønefelt-bredde, (m)</t>
  </si>
  <si>
    <t>Virkn. Grad</t>
  </si>
  <si>
    <t>Virkn. grad</t>
  </si>
  <si>
    <t>Formfaktor</t>
  </si>
  <si>
    <t>Sone</t>
  </si>
  <si>
    <t>Utvendig formfaktor</t>
  </si>
  <si>
    <t>Dim. Last, (Pa)</t>
  </si>
  <si>
    <t>Dim. kap. (N/feste)</t>
  </si>
  <si>
    <t>Antall fester pr. m²</t>
  </si>
  <si>
    <t>Festeavst. (m)</t>
  </si>
  <si>
    <t>Radavst. status</t>
  </si>
  <si>
    <t>Festeavst. status</t>
  </si>
  <si>
    <t>Radavst.
(m)</t>
  </si>
  <si>
    <t>Antall 
fester</t>
  </si>
  <si>
    <t>Mønefelt</t>
  </si>
  <si>
    <t>Hjørnefelt</t>
  </si>
  <si>
    <t>Randfelt</t>
  </si>
  <si>
    <t>Totalt antall fester:</t>
  </si>
  <si>
    <t>Referansevindhastighet</t>
  </si>
  <si>
    <t>Byggesteds høyde over havet</t>
  </si>
  <si>
    <t>hoh (m)</t>
  </si>
  <si>
    <t>Bygning</t>
  </si>
  <si>
    <t>Byggets høyde</t>
  </si>
  <si>
    <t>Byggets bredde</t>
  </si>
  <si>
    <t>Byggets dybde</t>
  </si>
  <si>
    <t>Takhøyde, pult- eller sal tak</t>
  </si>
  <si>
    <t>Takets areal</t>
  </si>
  <si>
    <t>Randfeltbredde</t>
  </si>
  <si>
    <t>Hjørnefeltlengde</t>
  </si>
  <si>
    <t>Mønefeltbredde, sal tak</t>
  </si>
  <si>
    <t>Lav/Høy</t>
  </si>
  <si>
    <t>Terrengkat.</t>
  </si>
  <si>
    <t>Topografi</t>
  </si>
  <si>
    <t>vkast (m/s)</t>
  </si>
  <si>
    <t>qkast (Pa)</t>
  </si>
  <si>
    <t>Vindkasthastighet</t>
  </si>
  <si>
    <t>Vindkasthastighetstrykk</t>
  </si>
  <si>
    <t>Vindlast</t>
  </si>
  <si>
    <t>Tekkesystem</t>
  </si>
  <si>
    <t>Bærende underlag</t>
  </si>
  <si>
    <t>Dim. last, (Pa)</t>
  </si>
  <si>
    <t>Antall
fester</t>
  </si>
  <si>
    <t>Radavstand 
(m)</t>
  </si>
  <si>
    <t>Festeavstand
(m)</t>
  </si>
  <si>
    <t>Festeavstand (m)</t>
  </si>
  <si>
    <t>Konstruksjon</t>
  </si>
  <si>
    <t>Takets underkonstruksjon</t>
  </si>
  <si>
    <t>Fasade</t>
  </si>
  <si>
    <t>Beregningsprogram for vindlast iht. TPF nr. 5</t>
  </si>
  <si>
    <t>Bredde (m)</t>
  </si>
  <si>
    <t>Takskrue</t>
  </si>
  <si>
    <t>Midt, nettobredde</t>
  </si>
  <si>
    <t>H&amp;R, nettobredde</t>
  </si>
  <si>
    <t>Krav</t>
  </si>
  <si>
    <t>Vindlastberegning for flate tak iht. NS-EN 1991-1-4 NA og TPF nr. 5.</t>
  </si>
  <si>
    <t>Takplan for tak</t>
  </si>
  <si>
    <t>m</t>
  </si>
  <si>
    <t>↓</t>
  </si>
  <si>
    <t>↑</t>
  </si>
  <si>
    <t>Utgave 26/09/25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</si>
</sst>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dd/mm/yyyy;@"/>
  </numFmts>
  <fonts count="27" x14ac:knownFonts="1">
    <font>
      <sz val="10"/>
      <name val="Arial"/>
    </font>
    <font>
      <sz val="10"/>
      <name val="Arial"/>
      <family val="2"/>
    </font>
    <font>
      <sz val="10"/>
      <name val="Arial"/>
      <family val="2"/>
    </font>
    <font>
      <b/>
      <sz val="10"/>
      <name val="Arial"/>
      <family val="2"/>
    </font>
    <font>
      <sz val="10"/>
      <color indexed="31"/>
      <name val="Arial"/>
      <family val="2"/>
    </font>
    <font>
      <sz val="10"/>
      <color indexed="12"/>
      <name val="Arial"/>
      <family val="2"/>
    </font>
    <font>
      <sz val="10"/>
      <color indexed="22"/>
      <name val="Arial"/>
      <family val="2"/>
    </font>
    <font>
      <sz val="8"/>
      <color indexed="81"/>
      <name val="Tahoma"/>
      <family val="2"/>
    </font>
    <font>
      <sz val="10"/>
      <color indexed="81"/>
      <name val="Tahoma"/>
      <family val="2"/>
    </font>
    <font>
      <sz val="10"/>
      <color indexed="81"/>
      <name val="Arial"/>
      <family val="2"/>
    </font>
    <font>
      <vertAlign val="superscript"/>
      <sz val="10"/>
      <color indexed="81"/>
      <name val="Arial"/>
      <family val="2"/>
    </font>
    <font>
      <b/>
      <sz val="10"/>
      <color indexed="81"/>
      <name val="Arial"/>
      <family val="2"/>
    </font>
    <font>
      <sz val="10"/>
      <color indexed="22"/>
      <name val="Arial"/>
      <family val="2"/>
    </font>
    <font>
      <b/>
      <sz val="12"/>
      <name val="Times New Roman"/>
      <family val="1"/>
    </font>
    <font>
      <sz val="12"/>
      <name val="Times New Roman"/>
      <family val="1"/>
    </font>
    <font>
      <sz val="10"/>
      <color indexed="10"/>
      <name val="Arial"/>
      <family val="2"/>
    </font>
    <font>
      <sz val="10"/>
      <color indexed="12"/>
      <name val="Arial"/>
      <family val="2"/>
    </font>
    <font>
      <b/>
      <sz val="10"/>
      <color indexed="10"/>
      <name val="Arial"/>
      <family val="2"/>
    </font>
    <font>
      <sz val="8"/>
      <name val="Arial"/>
      <family val="2"/>
    </font>
    <font>
      <b/>
      <vertAlign val="subscript"/>
      <sz val="10"/>
      <name val="Arial"/>
      <family val="2"/>
    </font>
    <font>
      <b/>
      <sz val="10"/>
      <color indexed="81"/>
      <name val="Tahoma"/>
      <family val="2"/>
    </font>
    <font>
      <sz val="10"/>
      <color indexed="8"/>
      <name val="Arial"/>
      <family val="2"/>
    </font>
    <font>
      <b/>
      <sz val="10"/>
      <color theme="0"/>
      <name val="Arial"/>
      <family val="2"/>
    </font>
    <font>
      <sz val="10"/>
      <color theme="0"/>
      <name val="Arial"/>
      <family val="2"/>
    </font>
    <font>
      <sz val="8"/>
      <color theme="0"/>
      <name val="Arial"/>
      <family val="2"/>
    </font>
    <font>
      <sz val="18"/>
      <color theme="0"/>
      <name val="Arial"/>
      <family val="2"/>
    </font>
    <font>
      <sz val="8"/>
      <color rgb="FF000000"/>
      <name val="Tahoma"/>
      <family val="2"/>
    </font>
  </fonts>
  <fills count="8">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theme="0"/>
        <bgColor indexed="64"/>
      </patternFill>
    </fill>
  </fills>
  <borders count="39">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double">
        <color indexed="64"/>
      </left>
      <right/>
      <top style="double">
        <color indexed="64"/>
      </top>
      <bottom/>
      <diagonal/>
    </border>
    <border>
      <left/>
      <right/>
      <top style="double">
        <color indexed="64"/>
      </top>
      <bottom/>
      <diagonal/>
    </border>
    <border>
      <left style="thin">
        <color indexed="64"/>
      </left>
      <right/>
      <top style="double">
        <color indexed="64"/>
      </top>
      <bottom style="thin">
        <color indexed="64"/>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bottom style="double">
        <color indexed="64"/>
      </bottom>
      <diagonal/>
    </border>
  </borders>
  <cellStyleXfs count="1">
    <xf numFmtId="0" fontId="0" fillId="0" borderId="0"/>
  </cellStyleXfs>
  <cellXfs count="182">
    <xf numFmtId="0" fontId="0" fillId="0" borderId="0" xfId="0"/>
    <xf numFmtId="0" fontId="0" fillId="2" borderId="2" xfId="0" applyFill="1" applyBorder="1" applyAlignment="1" applyProtection="1">
      <alignment horizontal="center"/>
      <protection locked="0"/>
    </xf>
    <xf numFmtId="2" fontId="0" fillId="2" borderId="2" xfId="0" applyNumberFormat="1" applyFill="1" applyBorder="1" applyAlignment="1" applyProtection="1">
      <alignment horizontal="center"/>
      <protection locked="0"/>
    </xf>
    <xf numFmtId="0" fontId="6" fillId="0" borderId="0" xfId="0" applyFont="1" applyProtection="1">
      <protection locked="0"/>
    </xf>
    <xf numFmtId="0" fontId="0" fillId="2" borderId="3" xfId="0" applyFill="1" applyBorder="1" applyAlignment="1" applyProtection="1">
      <alignment horizontal="left"/>
      <protection locked="0"/>
    </xf>
    <xf numFmtId="0" fontId="0" fillId="0" borderId="0" xfId="0" applyProtection="1">
      <protection hidden="1"/>
    </xf>
    <xf numFmtId="0" fontId="0" fillId="2" borderId="2" xfId="0" applyFill="1" applyBorder="1" applyProtection="1">
      <protection hidden="1"/>
    </xf>
    <xf numFmtId="0" fontId="0" fillId="2" borderId="4" xfId="0" applyFill="1" applyBorder="1" applyProtection="1">
      <protection hidden="1"/>
    </xf>
    <xf numFmtId="0" fontId="0" fillId="2" borderId="5" xfId="0" applyFill="1" applyBorder="1" applyProtection="1">
      <protection hidden="1"/>
    </xf>
    <xf numFmtId="0" fontId="0" fillId="3" borderId="3" xfId="0" applyFill="1" applyBorder="1" applyProtection="1">
      <protection hidden="1"/>
    </xf>
    <xf numFmtId="0" fontId="0" fillId="3" borderId="5" xfId="0" applyFill="1" applyBorder="1" applyProtection="1">
      <protection hidden="1"/>
    </xf>
    <xf numFmtId="0" fontId="0" fillId="3" borderId="2" xfId="0" applyFill="1" applyBorder="1" applyAlignment="1" applyProtection="1">
      <alignment horizontal="center"/>
      <protection hidden="1"/>
    </xf>
    <xf numFmtId="0" fontId="0" fillId="3" borderId="2" xfId="0" applyFill="1" applyBorder="1" applyProtection="1">
      <protection hidden="1"/>
    </xf>
    <xf numFmtId="0" fontId="0" fillId="0" borderId="0" xfId="0" applyAlignment="1" applyProtection="1">
      <alignment horizontal="center"/>
      <protection hidden="1"/>
    </xf>
    <xf numFmtId="2" fontId="0" fillId="3" borderId="2" xfId="0" applyNumberFormat="1" applyFill="1" applyBorder="1" applyAlignment="1" applyProtection="1">
      <alignment horizontal="center"/>
      <protection hidden="1"/>
    </xf>
    <xf numFmtId="2" fontId="0" fillId="3" borderId="5" xfId="0" applyNumberFormat="1" applyFill="1" applyBorder="1" applyAlignment="1" applyProtection="1">
      <alignment horizontal="center"/>
      <protection hidden="1"/>
    </xf>
    <xf numFmtId="2" fontId="0" fillId="0" borderId="0" xfId="0" applyNumberFormat="1" applyProtection="1">
      <protection hidden="1"/>
    </xf>
    <xf numFmtId="1" fontId="0" fillId="3" borderId="2" xfId="0" applyNumberFormat="1" applyFill="1" applyBorder="1" applyAlignment="1" applyProtection="1">
      <alignment horizontal="center"/>
      <protection hidden="1"/>
    </xf>
    <xf numFmtId="0" fontId="1" fillId="2" borderId="2" xfId="0" applyFont="1" applyFill="1" applyBorder="1" applyProtection="1">
      <protection hidden="1"/>
    </xf>
    <xf numFmtId="0" fontId="17" fillId="0" borderId="0" xfId="0" applyFont="1" applyProtection="1">
      <protection hidden="1"/>
    </xf>
    <xf numFmtId="0" fontId="3" fillId="0" borderId="0" xfId="0" applyFont="1" applyProtection="1">
      <protection hidden="1"/>
    </xf>
    <xf numFmtId="0" fontId="2" fillId="2" borderId="2" xfId="0" applyFont="1" applyFill="1" applyBorder="1" applyProtection="1">
      <protection hidden="1"/>
    </xf>
    <xf numFmtId="0" fontId="15" fillId="0" borderId="0" xfId="0" applyFont="1" applyProtection="1">
      <protection hidden="1"/>
    </xf>
    <xf numFmtId="0" fontId="13" fillId="0" borderId="0" xfId="0" applyFont="1" applyProtection="1">
      <protection hidden="1"/>
    </xf>
    <xf numFmtId="0" fontId="15" fillId="0" borderId="0" xfId="0" applyFont="1" applyAlignment="1" applyProtection="1">
      <alignment horizontal="center"/>
      <protection hidden="1"/>
    </xf>
    <xf numFmtId="0" fontId="14" fillId="0" borderId="0" xfId="0" applyFont="1" applyProtection="1">
      <protection hidden="1"/>
    </xf>
    <xf numFmtId="0" fontId="14" fillId="0" borderId="0" xfId="0" applyFont="1" applyAlignment="1" applyProtection="1">
      <alignment horizontal="left" indent="2"/>
      <protection hidden="1"/>
    </xf>
    <xf numFmtId="0" fontId="0" fillId="0" borderId="0" xfId="0" applyProtection="1">
      <protection locked="0"/>
    </xf>
    <xf numFmtId="0" fontId="6" fillId="0" borderId="0" xfId="0" applyFont="1" applyProtection="1">
      <protection hidden="1"/>
    </xf>
    <xf numFmtId="0" fontId="0" fillId="2" borderId="2" xfId="0" applyFill="1" applyBorder="1" applyAlignment="1" applyProtection="1">
      <alignment horizontal="center" wrapText="1"/>
      <protection hidden="1"/>
    </xf>
    <xf numFmtId="0" fontId="0" fillId="3" borderId="2" xfId="0" applyFill="1" applyBorder="1" applyAlignment="1" applyProtection="1">
      <alignment horizontal="center" wrapText="1"/>
      <protection hidden="1"/>
    </xf>
    <xf numFmtId="164" fontId="0" fillId="3" borderId="6" xfId="0" applyNumberFormat="1" applyFill="1" applyBorder="1" applyAlignment="1" applyProtection="1">
      <alignment horizontal="center"/>
      <protection hidden="1"/>
    </xf>
    <xf numFmtId="2" fontId="0" fillId="3" borderId="6" xfId="0" applyNumberFormat="1" applyFill="1" applyBorder="1" applyAlignment="1" applyProtection="1">
      <alignment horizontal="center"/>
      <protection hidden="1"/>
    </xf>
    <xf numFmtId="0" fontId="0" fillId="3" borderId="3" xfId="0" applyFill="1" applyBorder="1" applyAlignment="1" applyProtection="1">
      <alignment horizontal="center"/>
      <protection hidden="1"/>
    </xf>
    <xf numFmtId="0" fontId="2" fillId="3" borderId="2" xfId="0" applyFont="1" applyFill="1" applyBorder="1" applyAlignment="1" applyProtection="1">
      <alignment horizontal="center"/>
      <protection hidden="1"/>
    </xf>
    <xf numFmtId="0" fontId="0" fillId="3" borderId="5" xfId="0" applyFill="1" applyBorder="1" applyAlignment="1" applyProtection="1">
      <alignment horizontal="center"/>
      <protection hidden="1"/>
    </xf>
    <xf numFmtId="0" fontId="6" fillId="0" borderId="0" xfId="0" applyFont="1" applyAlignment="1" applyProtection="1">
      <alignment horizontal="right"/>
      <protection hidden="1"/>
    </xf>
    <xf numFmtId="2" fontId="2" fillId="3" borderId="2" xfId="0" applyNumberFormat="1" applyFont="1" applyFill="1" applyBorder="1" applyAlignment="1" applyProtection="1">
      <alignment horizontal="center"/>
      <protection hidden="1"/>
    </xf>
    <xf numFmtId="0" fontId="0" fillId="3" borderId="2" xfId="0" applyFill="1" applyBorder="1" applyAlignment="1" applyProtection="1">
      <alignment horizontal="left" wrapText="1"/>
      <protection hidden="1"/>
    </xf>
    <xf numFmtId="165" fontId="0" fillId="3" borderId="2" xfId="0" applyNumberFormat="1" applyFill="1" applyBorder="1" applyAlignment="1" applyProtection="1">
      <alignment horizontal="center"/>
      <protection hidden="1"/>
    </xf>
    <xf numFmtId="0" fontId="0" fillId="4" borderId="2" xfId="0" applyFill="1" applyBorder="1" applyProtection="1">
      <protection hidden="1"/>
    </xf>
    <xf numFmtId="2" fontId="0" fillId="4" borderId="2" xfId="0" applyNumberFormat="1" applyFill="1" applyBorder="1" applyAlignment="1" applyProtection="1">
      <alignment horizontal="center"/>
      <protection hidden="1"/>
    </xf>
    <xf numFmtId="2" fontId="0" fillId="0" borderId="0" xfId="0" applyNumberFormat="1" applyAlignment="1" applyProtection="1">
      <alignment horizontal="center"/>
      <protection hidden="1"/>
    </xf>
    <xf numFmtId="1" fontId="0" fillId="0" borderId="0" xfId="0" applyNumberFormat="1" applyAlignment="1" applyProtection="1">
      <alignment horizontal="center"/>
      <protection hidden="1"/>
    </xf>
    <xf numFmtId="0" fontId="0" fillId="0" borderId="2" xfId="0" applyBorder="1" applyAlignment="1" applyProtection="1">
      <alignment horizontal="center"/>
      <protection hidden="1"/>
    </xf>
    <xf numFmtId="0" fontId="0" fillId="0" borderId="3" xfId="0" applyBorder="1" applyProtection="1">
      <protection hidden="1"/>
    </xf>
    <xf numFmtId="2" fontId="17" fillId="0" borderId="0" xfId="0" applyNumberFormat="1" applyFont="1" applyProtection="1">
      <protection hidden="1"/>
    </xf>
    <xf numFmtId="2" fontId="0" fillId="3" borderId="2" xfId="0" applyNumberFormat="1" applyFill="1" applyBorder="1" applyProtection="1">
      <protection hidden="1"/>
    </xf>
    <xf numFmtId="0" fontId="16" fillId="0" borderId="0" xfId="0" applyFont="1" applyProtection="1">
      <protection hidden="1"/>
    </xf>
    <xf numFmtId="0" fontId="3" fillId="0" borderId="0" xfId="0" applyFont="1" applyAlignment="1" applyProtection="1">
      <alignment horizontal="left"/>
      <protection hidden="1"/>
    </xf>
    <xf numFmtId="0" fontId="0" fillId="5" borderId="2" xfId="0" applyFill="1" applyBorder="1" applyProtection="1">
      <protection hidden="1"/>
    </xf>
    <xf numFmtId="0" fontId="0" fillId="4" borderId="5" xfId="0" applyFill="1" applyBorder="1" applyProtection="1">
      <protection hidden="1"/>
    </xf>
    <xf numFmtId="0" fontId="0" fillId="4" borderId="7" xfId="0" applyFill="1" applyBorder="1" applyProtection="1">
      <protection hidden="1"/>
    </xf>
    <xf numFmtId="0" fontId="0" fillId="3" borderId="3" xfId="0" applyFill="1" applyBorder="1" applyAlignment="1" applyProtection="1">
      <alignment horizontal="left"/>
      <protection hidden="1"/>
    </xf>
    <xf numFmtId="0" fontId="1" fillId="5" borderId="2" xfId="0" applyFont="1" applyFill="1" applyBorder="1" applyProtection="1">
      <protection hidden="1"/>
    </xf>
    <xf numFmtId="2" fontId="0" fillId="3" borderId="3" xfId="0" applyNumberFormat="1" applyFill="1" applyBorder="1" applyAlignment="1" applyProtection="1">
      <alignment horizontal="left"/>
      <protection hidden="1"/>
    </xf>
    <xf numFmtId="0" fontId="1" fillId="3" borderId="5" xfId="0" applyFont="1" applyFill="1" applyBorder="1" applyProtection="1">
      <protection hidden="1"/>
    </xf>
    <xf numFmtId="2" fontId="1" fillId="3" borderId="3" xfId="0" applyNumberFormat="1" applyFont="1" applyFill="1" applyBorder="1" applyAlignment="1" applyProtection="1">
      <alignment horizontal="left"/>
      <protection hidden="1"/>
    </xf>
    <xf numFmtId="0" fontId="1" fillId="3" borderId="0" xfId="0" applyFont="1" applyFill="1" applyProtection="1">
      <protection hidden="1"/>
    </xf>
    <xf numFmtId="0" fontId="0" fillId="4" borderId="2" xfId="0" applyFill="1" applyBorder="1" applyAlignment="1" applyProtection="1">
      <alignment horizontal="center" wrapText="1"/>
      <protection hidden="1"/>
    </xf>
    <xf numFmtId="2" fontId="0" fillId="3" borderId="2" xfId="0" applyNumberFormat="1" applyFill="1" applyBorder="1" applyAlignment="1" applyProtection="1">
      <alignment horizontal="right"/>
      <protection hidden="1"/>
    </xf>
    <xf numFmtId="0" fontId="12" fillId="0" borderId="1" xfId="0" applyFont="1" applyBorder="1" applyAlignment="1" applyProtection="1">
      <alignment horizontal="center" wrapText="1"/>
      <protection hidden="1"/>
    </xf>
    <xf numFmtId="0" fontId="0" fillId="3" borderId="2" xfId="0" applyFill="1" applyBorder="1" applyAlignment="1" applyProtection="1">
      <alignment horizontal="left"/>
      <protection hidden="1"/>
    </xf>
    <xf numFmtId="164" fontId="0" fillId="3" borderId="2" xfId="0" applyNumberFormat="1" applyFill="1" applyBorder="1" applyAlignment="1" applyProtection="1">
      <alignment horizontal="center"/>
      <protection hidden="1"/>
    </xf>
    <xf numFmtId="1" fontId="0" fillId="4" borderId="2" xfId="0" applyNumberFormat="1" applyFill="1" applyBorder="1" applyAlignment="1" applyProtection="1">
      <alignment horizontal="center"/>
      <protection hidden="1"/>
    </xf>
    <xf numFmtId="164" fontId="0" fillId="4" borderId="2" xfId="0" applyNumberFormat="1" applyFill="1" applyBorder="1" applyAlignment="1" applyProtection="1">
      <alignment horizontal="center"/>
      <protection hidden="1"/>
    </xf>
    <xf numFmtId="0" fontId="0" fillId="4" borderId="2" xfId="0" applyFill="1" applyBorder="1" applyAlignment="1" applyProtection="1">
      <alignment horizontal="center"/>
      <protection hidden="1"/>
    </xf>
    <xf numFmtId="164" fontId="12" fillId="0" borderId="1" xfId="0" applyNumberFormat="1" applyFont="1" applyBorder="1" applyAlignment="1" applyProtection="1">
      <alignment horizontal="right"/>
      <protection hidden="1"/>
    </xf>
    <xf numFmtId="0" fontId="0" fillId="3" borderId="5" xfId="0" applyFill="1" applyBorder="1" applyAlignment="1" applyProtection="1">
      <alignment horizontal="right"/>
      <protection hidden="1"/>
    </xf>
    <xf numFmtId="164" fontId="0" fillId="0" borderId="0" xfId="0" applyNumberFormat="1" applyProtection="1">
      <protection hidden="1"/>
    </xf>
    <xf numFmtId="2" fontId="6" fillId="0" borderId="0" xfId="0" applyNumberFormat="1" applyFont="1" applyAlignment="1" applyProtection="1">
      <alignment horizontal="right"/>
      <protection hidden="1"/>
    </xf>
    <xf numFmtId="0" fontId="3" fillId="0" borderId="8" xfId="0" applyFont="1" applyBorder="1" applyProtection="1">
      <protection hidden="1"/>
    </xf>
    <xf numFmtId="0" fontId="0" fillId="0" borderId="9" xfId="0" applyBorder="1" applyProtection="1">
      <protection hidden="1"/>
    </xf>
    <xf numFmtId="14" fontId="0" fillId="0" borderId="7" xfId="0" applyNumberFormat="1" applyBorder="1" applyProtection="1">
      <protection hidden="1"/>
    </xf>
    <xf numFmtId="0" fontId="0" fillId="0" borderId="10" xfId="0" applyBorder="1" applyProtection="1">
      <protection hidden="1"/>
    </xf>
    <xf numFmtId="0" fontId="0" fillId="0" borderId="11" xfId="0" applyBorder="1" applyProtection="1">
      <protection hidden="1"/>
    </xf>
    <xf numFmtId="0" fontId="0" fillId="0" borderId="12" xfId="0" applyBorder="1" applyProtection="1">
      <protection hidden="1"/>
    </xf>
    <xf numFmtId="0" fontId="0" fillId="0" borderId="8" xfId="0" applyBorder="1" applyProtection="1">
      <protection hidden="1"/>
    </xf>
    <xf numFmtId="0" fontId="0" fillId="0" borderId="9" xfId="0" applyBorder="1" applyAlignment="1" applyProtection="1">
      <alignment horizontal="left"/>
      <protection hidden="1"/>
    </xf>
    <xf numFmtId="0" fontId="0" fillId="0" borderId="7" xfId="0" applyBorder="1" applyProtection="1">
      <protection hidden="1"/>
    </xf>
    <xf numFmtId="0" fontId="0" fillId="0" borderId="13" xfId="0" applyBorder="1" applyProtection="1">
      <protection hidden="1"/>
    </xf>
    <xf numFmtId="0" fontId="0" fillId="0" borderId="0" xfId="0" applyAlignment="1" applyProtection="1">
      <alignment horizontal="left"/>
      <protection hidden="1"/>
    </xf>
    <xf numFmtId="0" fontId="0" fillId="0" borderId="14" xfId="0" applyBorder="1" applyProtection="1">
      <protection hidden="1"/>
    </xf>
    <xf numFmtId="0" fontId="0" fillId="0" borderId="11" xfId="0" applyBorder="1" applyAlignment="1" applyProtection="1">
      <alignment horizontal="left"/>
      <protection hidden="1"/>
    </xf>
    <xf numFmtId="0" fontId="0" fillId="0" borderId="4" xfId="0" applyBorder="1" applyProtection="1">
      <protection hidden="1"/>
    </xf>
    <xf numFmtId="0" fontId="0" fillId="0" borderId="5" xfId="0" applyBorder="1" applyProtection="1">
      <protection hidden="1"/>
    </xf>
    <xf numFmtId="0" fontId="0" fillId="0" borderId="5" xfId="0" applyBorder="1" applyAlignment="1" applyProtection="1">
      <alignment horizontal="right"/>
      <protection hidden="1"/>
    </xf>
    <xf numFmtId="0" fontId="0" fillId="0" borderId="0" xfId="0" applyAlignment="1" applyProtection="1">
      <alignment horizontal="right"/>
      <protection hidden="1"/>
    </xf>
    <xf numFmtId="2" fontId="0" fillId="0" borderId="5" xfId="0" applyNumberFormat="1" applyBorder="1" applyAlignment="1" applyProtection="1">
      <alignment horizontal="right"/>
      <protection hidden="1"/>
    </xf>
    <xf numFmtId="2" fontId="0" fillId="0" borderId="0" xfId="0" applyNumberFormat="1" applyAlignment="1" applyProtection="1">
      <alignment horizontal="right"/>
      <protection hidden="1"/>
    </xf>
    <xf numFmtId="0" fontId="0" fillId="0" borderId="4" xfId="0" applyBorder="1" applyAlignment="1" applyProtection="1">
      <alignment horizontal="left"/>
      <protection hidden="1"/>
    </xf>
    <xf numFmtId="0" fontId="4" fillId="0" borderId="9" xfId="0" applyFont="1" applyBorder="1" applyAlignment="1" applyProtection="1">
      <alignment horizontal="left"/>
      <protection hidden="1"/>
    </xf>
    <xf numFmtId="1" fontId="0" fillId="0" borderId="5" xfId="0" applyNumberFormat="1" applyBorder="1" applyProtection="1">
      <protection hidden="1"/>
    </xf>
    <xf numFmtId="1" fontId="0" fillId="0" borderId="0" xfId="0" applyNumberFormat="1" applyProtection="1">
      <protection hidden="1"/>
    </xf>
    <xf numFmtId="0" fontId="0" fillId="0" borderId="15" xfId="0" applyBorder="1" applyProtection="1">
      <protection hidden="1"/>
    </xf>
    <xf numFmtId="1" fontId="0" fillId="0" borderId="7" xfId="0" applyNumberFormat="1" applyBorder="1" applyProtection="1">
      <protection hidden="1"/>
    </xf>
    <xf numFmtId="0" fontId="0" fillId="0" borderId="6" xfId="0" applyBorder="1" applyProtection="1">
      <protection hidden="1"/>
    </xf>
    <xf numFmtId="1" fontId="0" fillId="0" borderId="12" xfId="0" applyNumberFormat="1" applyBorder="1" applyProtection="1">
      <protection hidden="1"/>
    </xf>
    <xf numFmtId="0" fontId="3" fillId="0" borderId="16" xfId="0" applyFont="1" applyBorder="1" applyProtection="1">
      <protection hidden="1"/>
    </xf>
    <xf numFmtId="0" fontId="0" fillId="0" borderId="17" xfId="0" applyBorder="1" applyProtection="1">
      <protection hidden="1"/>
    </xf>
    <xf numFmtId="0" fontId="3" fillId="0" borderId="18" xfId="0" applyFont="1" applyBorder="1" applyProtection="1">
      <protection hidden="1"/>
    </xf>
    <xf numFmtId="0" fontId="3" fillId="0" borderId="19" xfId="0" applyFont="1" applyBorder="1" applyProtection="1">
      <protection hidden="1"/>
    </xf>
    <xf numFmtId="2" fontId="0" fillId="0" borderId="20" xfId="0" applyNumberFormat="1" applyBorder="1" applyProtection="1">
      <protection hidden="1"/>
    </xf>
    <xf numFmtId="0" fontId="0" fillId="0" borderId="21" xfId="0" applyBorder="1" applyProtection="1">
      <protection hidden="1"/>
    </xf>
    <xf numFmtId="2" fontId="0" fillId="0" borderId="9" xfId="0" applyNumberFormat="1" applyBorder="1" applyProtection="1">
      <protection hidden="1"/>
    </xf>
    <xf numFmtId="2" fontId="0" fillId="0" borderId="22" xfId="0" applyNumberFormat="1" applyBorder="1" applyProtection="1">
      <protection hidden="1"/>
    </xf>
    <xf numFmtId="0" fontId="0" fillId="0" borderId="23" xfId="0" applyBorder="1" applyProtection="1">
      <protection hidden="1"/>
    </xf>
    <xf numFmtId="2" fontId="0" fillId="0" borderId="13" xfId="0" applyNumberFormat="1" applyBorder="1" applyAlignment="1" applyProtection="1">
      <alignment horizontal="left"/>
      <protection hidden="1"/>
    </xf>
    <xf numFmtId="2" fontId="0" fillId="0" borderId="24" xfId="0" applyNumberFormat="1" applyBorder="1" applyAlignment="1" applyProtection="1">
      <alignment horizontal="left"/>
      <protection hidden="1"/>
    </xf>
    <xf numFmtId="2" fontId="0" fillId="0" borderId="24" xfId="0" applyNumberFormat="1" applyBorder="1" applyProtection="1">
      <protection hidden="1"/>
    </xf>
    <xf numFmtId="0" fontId="0" fillId="0" borderId="24" xfId="0" applyBorder="1" applyProtection="1">
      <protection hidden="1"/>
    </xf>
    <xf numFmtId="0" fontId="0" fillId="0" borderId="25" xfId="0" applyBorder="1" applyProtection="1">
      <protection hidden="1"/>
    </xf>
    <xf numFmtId="0" fontId="0" fillId="0" borderId="26" xfId="0" applyBorder="1" applyProtection="1">
      <protection hidden="1"/>
    </xf>
    <xf numFmtId="0" fontId="0" fillId="0" borderId="27" xfId="0" applyBorder="1" applyProtection="1">
      <protection hidden="1"/>
    </xf>
    <xf numFmtId="0" fontId="3" fillId="0" borderId="28" xfId="0" applyFont="1" applyBorder="1" applyAlignment="1" applyProtection="1">
      <alignment horizontal="center"/>
      <protection hidden="1"/>
    </xf>
    <xf numFmtId="0" fontId="3" fillId="0" borderId="29" xfId="0" applyFont="1" applyBorder="1" applyAlignment="1" applyProtection="1">
      <alignment horizontal="center" wrapText="1"/>
      <protection hidden="1"/>
    </xf>
    <xf numFmtId="0" fontId="3" fillId="0" borderId="30" xfId="0" applyFont="1" applyBorder="1" applyProtection="1">
      <protection hidden="1"/>
    </xf>
    <xf numFmtId="0" fontId="3" fillId="0" borderId="31" xfId="0" applyFont="1" applyBorder="1" applyAlignment="1" applyProtection="1">
      <alignment horizontal="center" wrapText="1"/>
      <protection hidden="1"/>
    </xf>
    <xf numFmtId="0" fontId="3" fillId="0" borderId="32" xfId="0" applyFont="1" applyBorder="1" applyAlignment="1" applyProtection="1">
      <alignment horizontal="center" wrapText="1"/>
      <protection hidden="1"/>
    </xf>
    <xf numFmtId="0" fontId="0" fillId="0" borderId="33" xfId="0" applyBorder="1" applyProtection="1">
      <protection hidden="1"/>
    </xf>
    <xf numFmtId="1" fontId="0" fillId="0" borderId="2" xfId="0" applyNumberFormat="1" applyBorder="1" applyAlignment="1" applyProtection="1">
      <alignment horizontal="center"/>
      <protection hidden="1"/>
    </xf>
    <xf numFmtId="164" fontId="0" fillId="0" borderId="2" xfId="0" applyNumberFormat="1" applyBorder="1" applyAlignment="1" applyProtection="1">
      <alignment horizontal="center"/>
      <protection hidden="1"/>
    </xf>
    <xf numFmtId="2" fontId="0" fillId="0" borderId="2" xfId="0" applyNumberFormat="1" applyBorder="1" applyAlignment="1" applyProtection="1">
      <alignment horizontal="center"/>
      <protection hidden="1"/>
    </xf>
    <xf numFmtId="2" fontId="0" fillId="0" borderId="34" xfId="0" applyNumberFormat="1" applyBorder="1" applyAlignment="1" applyProtection="1">
      <alignment horizontal="center"/>
      <protection hidden="1"/>
    </xf>
    <xf numFmtId="0" fontId="0" fillId="0" borderId="33" xfId="0" applyBorder="1" applyAlignment="1" applyProtection="1">
      <alignment horizontal="left"/>
      <protection hidden="1"/>
    </xf>
    <xf numFmtId="0" fontId="0" fillId="0" borderId="0" xfId="0" applyAlignment="1" applyProtection="1">
      <alignment horizontal="center" wrapText="1"/>
      <protection hidden="1"/>
    </xf>
    <xf numFmtId="0" fontId="0" fillId="0" borderId="35" xfId="0" applyBorder="1" applyAlignment="1" applyProtection="1">
      <alignment horizontal="left"/>
      <protection hidden="1"/>
    </xf>
    <xf numFmtId="1" fontId="0" fillId="0" borderId="36" xfId="0" applyNumberFormat="1" applyBorder="1" applyAlignment="1" applyProtection="1">
      <alignment horizontal="center"/>
      <protection hidden="1"/>
    </xf>
    <xf numFmtId="0" fontId="0" fillId="0" borderId="36" xfId="0" applyBorder="1" applyAlignment="1" applyProtection="1">
      <alignment horizontal="center"/>
      <protection hidden="1"/>
    </xf>
    <xf numFmtId="164" fontId="0" fillId="0" borderId="36" xfId="0" applyNumberFormat="1" applyBorder="1" applyAlignment="1" applyProtection="1">
      <alignment horizontal="center"/>
      <protection hidden="1"/>
    </xf>
    <xf numFmtId="2" fontId="0" fillId="0" borderId="36" xfId="0" applyNumberFormat="1" applyBorder="1" applyAlignment="1" applyProtection="1">
      <alignment horizontal="center"/>
      <protection hidden="1"/>
    </xf>
    <xf numFmtId="2" fontId="0" fillId="0" borderId="37" xfId="0" applyNumberFormat="1" applyBorder="1" applyAlignment="1" applyProtection="1">
      <alignment horizontal="center"/>
      <protection hidden="1"/>
    </xf>
    <xf numFmtId="0" fontId="3" fillId="0" borderId="0" xfId="0" applyFont="1" applyAlignment="1" applyProtection="1">
      <alignment horizontal="right"/>
      <protection hidden="1"/>
    </xf>
    <xf numFmtId="1" fontId="3" fillId="0" borderId="0" xfId="0" applyNumberFormat="1" applyFont="1" applyAlignment="1" applyProtection="1">
      <alignment horizontal="center"/>
      <protection hidden="1"/>
    </xf>
    <xf numFmtId="2" fontId="0" fillId="0" borderId="0" xfId="0" applyNumberFormat="1" applyAlignment="1" applyProtection="1">
      <alignment horizontal="left"/>
      <protection hidden="1"/>
    </xf>
    <xf numFmtId="0" fontId="3" fillId="3" borderId="2" xfId="0" applyFont="1" applyFill="1" applyBorder="1" applyAlignment="1" applyProtection="1">
      <alignment horizontal="center"/>
      <protection hidden="1"/>
    </xf>
    <xf numFmtId="2" fontId="0" fillId="3" borderId="2" xfId="0" applyNumberFormat="1" applyFill="1" applyBorder="1" applyAlignment="1" applyProtection="1">
      <alignment horizontal="left"/>
      <protection hidden="1"/>
    </xf>
    <xf numFmtId="2" fontId="18" fillId="3" borderId="2" xfId="0" applyNumberFormat="1" applyFont="1" applyFill="1" applyBorder="1" applyAlignment="1" applyProtection="1">
      <alignment horizontal="left"/>
      <protection hidden="1"/>
    </xf>
    <xf numFmtId="0" fontId="0" fillId="3" borderId="3" xfId="0" applyFill="1" applyBorder="1"/>
    <xf numFmtId="0" fontId="0" fillId="3" borderId="5" xfId="0" applyFill="1" applyBorder="1"/>
    <xf numFmtId="0" fontId="0" fillId="3" borderId="2" xfId="0" applyFill="1" applyBorder="1" applyAlignment="1">
      <alignment horizontal="center"/>
    </xf>
    <xf numFmtId="0" fontId="0" fillId="2" borderId="2" xfId="0" applyFill="1" applyBorder="1"/>
    <xf numFmtId="0" fontId="3" fillId="0" borderId="0" xfId="0" applyFont="1"/>
    <xf numFmtId="0" fontId="0" fillId="0" borderId="0" xfId="0" applyAlignment="1">
      <alignment horizontal="center"/>
    </xf>
    <xf numFmtId="0" fontId="3" fillId="3" borderId="2" xfId="0" applyFont="1" applyFill="1" applyBorder="1" applyAlignment="1">
      <alignment horizontal="center" wrapText="1"/>
    </xf>
    <xf numFmtId="0" fontId="3" fillId="3" borderId="2" xfId="0" applyFont="1" applyFill="1" applyBorder="1" applyAlignment="1">
      <alignment horizontal="center"/>
    </xf>
    <xf numFmtId="0" fontId="0" fillId="3" borderId="2" xfId="0" applyFill="1" applyBorder="1"/>
    <xf numFmtId="0" fontId="5" fillId="0" borderId="0" xfId="0" applyFont="1"/>
    <xf numFmtId="0" fontId="0" fillId="4" borderId="2" xfId="0" applyFill="1" applyBorder="1"/>
    <xf numFmtId="166" fontId="16" fillId="0" borderId="0" xfId="0" applyNumberFormat="1" applyFont="1" applyAlignment="1" applyProtection="1">
      <alignment horizontal="left"/>
      <protection hidden="1"/>
    </xf>
    <xf numFmtId="14" fontId="0" fillId="0" borderId="0" xfId="0" applyNumberFormat="1" applyProtection="1">
      <protection hidden="1"/>
    </xf>
    <xf numFmtId="0" fontId="1" fillId="6" borderId="2" xfId="0" applyFont="1" applyFill="1" applyBorder="1" applyProtection="1">
      <protection hidden="1"/>
    </xf>
    <xf numFmtId="2" fontId="21" fillId="6" borderId="2" xfId="0" applyNumberFormat="1" applyFont="1" applyFill="1" applyBorder="1" applyProtection="1">
      <protection locked="0"/>
    </xf>
    <xf numFmtId="2" fontId="21" fillId="6" borderId="2" xfId="0" applyNumberFormat="1" applyFont="1" applyFill="1" applyBorder="1" applyAlignment="1" applyProtection="1">
      <alignment horizontal="left"/>
      <protection locked="0"/>
    </xf>
    <xf numFmtId="0" fontId="0" fillId="6" borderId="2" xfId="0" applyFill="1" applyBorder="1" applyProtection="1">
      <protection hidden="1"/>
    </xf>
    <xf numFmtId="0" fontId="0" fillId="6" borderId="2" xfId="0" applyFill="1" applyBorder="1" applyProtection="1">
      <protection locked="0"/>
    </xf>
    <xf numFmtId="1" fontId="0" fillId="0" borderId="38" xfId="0" applyNumberFormat="1" applyBorder="1" applyAlignment="1" applyProtection="1">
      <alignment horizontal="left"/>
      <protection hidden="1"/>
    </xf>
    <xf numFmtId="1" fontId="0" fillId="4" borderId="3" xfId="0" applyNumberFormat="1" applyFill="1" applyBorder="1" applyAlignment="1" applyProtection="1">
      <alignment horizontal="left"/>
      <protection hidden="1"/>
    </xf>
    <xf numFmtId="0" fontId="1" fillId="6" borderId="2" xfId="0" applyFont="1" applyFill="1" applyBorder="1" applyProtection="1">
      <protection locked="0"/>
    </xf>
    <xf numFmtId="1" fontId="1" fillId="6" borderId="2" xfId="0" applyNumberFormat="1" applyFont="1" applyFill="1" applyBorder="1" applyAlignment="1" applyProtection="1">
      <alignment horizontal="left"/>
      <protection locked="0"/>
    </xf>
    <xf numFmtId="2" fontId="3" fillId="0" borderId="0" xfId="0" applyNumberFormat="1" applyFont="1" applyAlignment="1" applyProtection="1">
      <alignment horizontal="left"/>
      <protection hidden="1"/>
    </xf>
    <xf numFmtId="0" fontId="16" fillId="0" borderId="0" xfId="0" applyFont="1" applyAlignment="1" applyProtection="1">
      <alignment horizontal="right"/>
      <protection hidden="1"/>
    </xf>
    <xf numFmtId="0" fontId="0" fillId="3" borderId="3" xfId="0" applyFill="1" applyBorder="1" applyAlignment="1" applyProtection="1">
      <alignment horizontal="center" wrapText="1"/>
      <protection hidden="1"/>
    </xf>
    <xf numFmtId="0" fontId="0" fillId="3" borderId="4" xfId="0" applyFill="1" applyBorder="1" applyAlignment="1" applyProtection="1">
      <alignment horizontal="center" wrapText="1"/>
      <protection hidden="1"/>
    </xf>
    <xf numFmtId="0" fontId="0" fillId="3" borderId="5" xfId="0" applyFill="1" applyBorder="1" applyAlignment="1" applyProtection="1">
      <alignment horizontal="center" wrapText="1"/>
      <protection hidden="1"/>
    </xf>
    <xf numFmtId="164" fontId="0" fillId="3" borderId="3" xfId="0" applyNumberFormat="1" applyFill="1" applyBorder="1" applyAlignment="1" applyProtection="1">
      <alignment horizontal="center"/>
      <protection hidden="1"/>
    </xf>
    <xf numFmtId="1" fontId="0" fillId="3" borderId="4" xfId="0" applyNumberFormat="1" applyFill="1" applyBorder="1" applyAlignment="1" applyProtection="1">
      <alignment horizontal="center"/>
      <protection hidden="1"/>
    </xf>
    <xf numFmtId="1" fontId="0" fillId="3" borderId="5" xfId="0" applyNumberFormat="1" applyFill="1" applyBorder="1" applyAlignment="1" applyProtection="1">
      <alignment horizontal="center"/>
      <protection hidden="1"/>
    </xf>
    <xf numFmtId="0" fontId="2" fillId="2" borderId="2" xfId="0" applyFont="1" applyFill="1" applyBorder="1"/>
    <xf numFmtId="0" fontId="5" fillId="0" borderId="0" xfId="0" applyFont="1" applyProtection="1">
      <protection hidden="1"/>
    </xf>
    <xf numFmtId="2" fontId="2" fillId="2" borderId="2" xfId="0" applyNumberFormat="1" applyFont="1" applyFill="1" applyBorder="1" applyAlignment="1" applyProtection="1">
      <alignment horizontal="center"/>
      <protection locked="0"/>
    </xf>
    <xf numFmtId="0" fontId="22" fillId="7" borderId="0" xfId="0" applyFont="1" applyFill="1" applyAlignment="1" applyProtection="1">
      <alignment horizontal="center"/>
      <protection hidden="1"/>
    </xf>
    <xf numFmtId="0" fontId="23" fillId="7" borderId="0" xfId="0" applyFont="1" applyFill="1" applyAlignment="1" applyProtection="1">
      <alignment horizontal="left"/>
      <protection hidden="1"/>
    </xf>
    <xf numFmtId="0" fontId="23" fillId="0" borderId="0" xfId="0" applyFont="1" applyProtection="1">
      <protection hidden="1"/>
    </xf>
    <xf numFmtId="2" fontId="23" fillId="7" borderId="0" xfId="0" applyNumberFormat="1" applyFont="1" applyFill="1" applyAlignment="1" applyProtection="1">
      <alignment horizontal="left"/>
      <protection hidden="1"/>
    </xf>
    <xf numFmtId="2" fontId="24" fillId="7" borderId="0" xfId="0" applyNumberFormat="1" applyFont="1" applyFill="1" applyAlignment="1" applyProtection="1">
      <alignment horizontal="left"/>
      <protection hidden="1"/>
    </xf>
    <xf numFmtId="0" fontId="2" fillId="0" borderId="0" xfId="0" applyFont="1" applyProtection="1">
      <protection hidden="1"/>
    </xf>
    <xf numFmtId="0" fontId="2" fillId="0" borderId="0" xfId="0" applyFont="1" applyAlignment="1" applyProtection="1">
      <alignment horizontal="right"/>
      <protection hidden="1"/>
    </xf>
    <xf numFmtId="0" fontId="0" fillId="0" borderId="0" xfId="0" applyAlignment="1" applyProtection="1">
      <alignment vertical="center"/>
      <protection hidden="1"/>
    </xf>
    <xf numFmtId="0" fontId="1" fillId="0" borderId="0" xfId="0" applyFont="1" applyProtection="1">
      <protection hidden="1"/>
    </xf>
    <xf numFmtId="0" fontId="25" fillId="0" borderId="0" xfId="0" applyFont="1" applyAlignment="1" applyProtection="1">
      <alignment horizontal="left"/>
      <protection hidden="1"/>
    </xf>
    <xf numFmtId="0" fontId="25" fillId="0" borderId="0" xfId="0" applyFont="1" applyAlignment="1" applyProtection="1">
      <alignment horizontal="left" vertical="top"/>
      <protection hidden="1"/>
    </xf>
  </cellXfs>
  <cellStyles count="1">
    <cellStyle name="Normal" xfId="0" builtinId="0"/>
  </cellStyles>
  <dxfs count="29">
    <dxf>
      <font>
        <color theme="1"/>
      </font>
      <fill>
        <patternFill>
          <bgColor rgb="FFFFFFCC"/>
        </patternFill>
      </fill>
      <border>
        <left style="thin">
          <color auto="1"/>
        </left>
        <right style="thin">
          <color auto="1"/>
        </right>
        <top style="thin">
          <color auto="1"/>
        </top>
        <bottom style="thin">
          <color auto="1"/>
        </bottom>
        <vertical/>
        <horizontal/>
      </border>
    </dxf>
    <dxf>
      <font>
        <color theme="1"/>
      </font>
      <fill>
        <patternFill patternType="lightDown">
          <fgColor theme="5" tint="0.59996337778862885"/>
        </patternFill>
      </fill>
      <border>
        <right style="thin">
          <color auto="1"/>
        </right>
        <top style="thin">
          <color auto="1"/>
        </top>
        <bottom style="thin">
          <color auto="1"/>
        </bottom>
        <vertical/>
        <horizontal/>
      </border>
    </dxf>
    <dxf>
      <font>
        <color theme="1"/>
      </font>
    </dxf>
    <dxf>
      <fill>
        <patternFill patternType="lightDown">
          <fgColor theme="5" tint="0.59996337778862885"/>
          <bgColor theme="0"/>
        </patternFill>
      </fill>
      <border>
        <left/>
        <right/>
        <top style="dashed">
          <color rgb="FFFF0000"/>
        </top>
        <bottom style="dashed">
          <color rgb="FFFF0000"/>
        </bottom>
        <vertical/>
        <horizontal/>
      </border>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ont>
        <condense val="0"/>
        <extend val="0"/>
        <color indexed="9"/>
      </font>
      <fill>
        <patternFill patternType="none">
          <bgColor indexed="65"/>
        </patternFill>
      </fill>
      <border>
        <left/>
        <right/>
        <top/>
        <bottom/>
      </border>
    </dxf>
    <dxf>
      <font>
        <condense val="0"/>
        <extend val="0"/>
        <color auto="1"/>
      </font>
      <fill>
        <patternFill>
          <bgColor indexed="27"/>
        </patternFill>
      </fill>
      <border>
        <left style="thin">
          <color indexed="64"/>
        </left>
        <right style="thin">
          <color indexed="64"/>
        </right>
        <top style="thin">
          <color indexed="64"/>
        </top>
        <bottom style="thin">
          <color indexed="64"/>
        </bottom>
      </border>
    </dxf>
    <dxf>
      <font>
        <condense val="0"/>
        <extend val="0"/>
        <color indexed="9"/>
      </font>
      <fill>
        <patternFill patternType="none">
          <bgColor indexed="65"/>
        </patternFill>
      </fill>
      <border>
        <left/>
        <right/>
        <top/>
        <bottom/>
      </border>
    </dxf>
    <dxf>
      <font>
        <condense val="0"/>
        <extend val="0"/>
        <color auto="1"/>
      </font>
      <fill>
        <patternFill>
          <bgColor indexed="26"/>
        </patternFill>
      </fill>
      <border>
        <left style="thin">
          <color indexed="64"/>
        </left>
        <right style="thin">
          <color indexed="64"/>
        </right>
        <top style="thin">
          <color indexed="64"/>
        </top>
        <bottom style="thin">
          <color indexed="64"/>
        </bottom>
      </border>
    </dxf>
    <dxf>
      <font>
        <condense val="0"/>
        <extend val="0"/>
        <color indexed="9"/>
      </font>
      <fill>
        <patternFill patternType="none">
          <bgColor indexed="65"/>
        </patternFill>
      </fill>
      <border>
        <left/>
        <right/>
        <top/>
        <bottom/>
      </border>
    </dxf>
    <dxf>
      <font>
        <condense val="0"/>
        <extend val="0"/>
        <color auto="1"/>
      </font>
      <fill>
        <patternFill patternType="solid">
          <bgColor indexed="27"/>
        </patternFill>
      </fill>
      <border>
        <left style="thin">
          <color indexed="64"/>
        </left>
        <right style="thin">
          <color indexed="64"/>
        </right>
        <top style="thin">
          <color indexed="64"/>
        </top>
        <bottom style="thin">
          <color indexed="64"/>
        </bottom>
      </border>
    </dxf>
    <dxf>
      <font>
        <condense val="0"/>
        <extend val="0"/>
        <color indexed="9"/>
      </font>
      <fill>
        <patternFill patternType="none">
          <bgColor indexed="65"/>
        </patternFill>
      </fill>
      <border>
        <left/>
        <right/>
        <top/>
        <bottom/>
      </border>
    </dxf>
    <dxf>
      <font>
        <condense val="0"/>
        <extend val="0"/>
        <color auto="1"/>
      </font>
      <fill>
        <patternFill>
          <bgColor indexed="27"/>
        </patternFill>
      </fill>
      <border>
        <left style="thin">
          <color indexed="64"/>
        </left>
        <right style="thin">
          <color indexed="64"/>
        </right>
        <top style="thin">
          <color indexed="64"/>
        </top>
        <bottom style="thin">
          <color indexed="64"/>
        </bottom>
      </border>
    </dxf>
    <dxf>
      <fill>
        <patternFill patternType="solid">
          <bgColor indexed="26"/>
        </patternFill>
      </fill>
    </dxf>
    <dxf>
      <fill>
        <patternFill>
          <bgColor indexed="45"/>
        </patternFill>
      </fill>
    </dxf>
    <dxf>
      <font>
        <condense val="0"/>
        <extend val="0"/>
        <color indexed="9"/>
      </font>
      <fill>
        <patternFill patternType="none">
          <bgColor indexed="65"/>
        </patternFill>
      </fill>
      <border>
        <left/>
        <right/>
        <top/>
        <bottom/>
      </border>
    </dxf>
    <dxf>
      <font>
        <condense val="0"/>
        <extend val="0"/>
        <color auto="1"/>
      </font>
      <fill>
        <patternFill>
          <bgColor indexed="26"/>
        </patternFill>
      </fill>
      <border>
        <left style="thin">
          <color indexed="64"/>
        </left>
        <right style="thin">
          <color indexed="64"/>
        </right>
        <top style="thin">
          <color indexed="64"/>
        </top>
        <bottom style="thin">
          <color indexed="64"/>
        </bottom>
      </border>
    </dxf>
    <dxf>
      <font>
        <condense val="0"/>
        <extend val="0"/>
        <color indexed="9"/>
      </font>
      <fill>
        <patternFill patternType="none">
          <bgColor indexed="65"/>
        </patternFill>
      </fill>
      <border>
        <left/>
        <right/>
        <top/>
        <bottom/>
      </border>
    </dxf>
    <dxf>
      <font>
        <b/>
        <i val="0"/>
        <condense val="0"/>
        <extend val="0"/>
        <color indexed="10"/>
      </font>
    </dxf>
    <dxf>
      <font>
        <condense val="0"/>
        <extend val="0"/>
        <color indexed="9"/>
      </font>
      <fill>
        <patternFill patternType="none">
          <bgColor indexed="65"/>
        </patternFill>
      </fill>
      <border>
        <left/>
        <right/>
        <top/>
        <bottom/>
      </border>
    </dxf>
    <dxf>
      <fill>
        <patternFill>
          <bgColor indexed="27"/>
        </patternFill>
      </fill>
      <border>
        <left style="thin">
          <color indexed="64"/>
        </left>
        <right style="thin">
          <color indexed="64"/>
        </right>
        <top style="thin">
          <color indexed="64"/>
        </top>
        <bottom style="thin">
          <color indexed="64"/>
        </bottom>
      </border>
    </dxf>
    <dxf>
      <font>
        <condense val="0"/>
        <extend val="0"/>
        <color indexed="9"/>
      </font>
      <fill>
        <patternFill patternType="none">
          <bgColor indexed="65"/>
        </patternFill>
      </fill>
      <border>
        <left/>
        <right/>
        <top/>
        <bottom/>
      </border>
    </dxf>
    <dxf>
      <fill>
        <patternFill>
          <bgColor indexed="27"/>
        </patternFill>
      </fill>
      <border>
        <left style="thin">
          <color indexed="64"/>
        </left>
        <right style="thin">
          <color indexed="64"/>
        </right>
        <top style="thin">
          <color indexed="64"/>
        </top>
        <bottom style="thin">
          <color indexed="64"/>
        </bottom>
      </border>
    </dxf>
    <dxf>
      <font>
        <condense val="0"/>
        <extend val="0"/>
        <color indexed="9"/>
      </font>
      <fill>
        <patternFill patternType="none">
          <bgColor indexed="65"/>
        </patternFill>
      </fill>
      <border>
        <left/>
        <right/>
        <top/>
        <bottom/>
      </border>
    </dxf>
    <dxf>
      <font>
        <condense val="0"/>
        <extend val="0"/>
        <color auto="1"/>
      </font>
      <fill>
        <patternFill>
          <bgColor indexed="27"/>
        </patternFill>
      </fill>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GBox"/>
</file>

<file path=xl/ctrlProps/ctrlProp10.xml><?xml version="1.0" encoding="utf-8"?>
<formControlPr xmlns="http://schemas.microsoft.com/office/spreadsheetml/2009/9/main" objectType="GBox"/>
</file>

<file path=xl/ctrlProps/ctrlProp11.xml><?xml version="1.0" encoding="utf-8"?>
<formControlPr xmlns="http://schemas.microsoft.com/office/spreadsheetml/2009/9/main" objectType="GBox"/>
</file>

<file path=xl/ctrlProps/ctrlProp12.xml><?xml version="1.0" encoding="utf-8"?>
<formControlPr xmlns="http://schemas.microsoft.com/office/spreadsheetml/2009/9/main" objectType="GBox"/>
</file>

<file path=xl/ctrlProps/ctrlProp13.xml><?xml version="1.0" encoding="utf-8"?>
<formControlPr xmlns="http://schemas.microsoft.com/office/spreadsheetml/2009/9/main" objectType="GBox"/>
</file>

<file path=xl/ctrlProps/ctrlProp14.xml><?xml version="1.0" encoding="utf-8"?>
<formControlPr xmlns="http://schemas.microsoft.com/office/spreadsheetml/2009/9/main" objectType="Drop" dropLines="16" dropStyle="combo" dx="22" fmlaLink="$O$13" fmlaRange="$Z$10:$Z$445" sel="258" val="256"/>
</file>

<file path=xl/ctrlProps/ctrlProp15.xml><?xml version="1.0" encoding="utf-8"?>
<formControlPr xmlns="http://schemas.microsoft.com/office/spreadsheetml/2009/9/main" objectType="GBox"/>
</file>

<file path=xl/ctrlProps/ctrlProp16.xml><?xml version="1.0" encoding="utf-8"?>
<formControlPr xmlns="http://schemas.microsoft.com/office/spreadsheetml/2009/9/main" objectType="Radio" checked="Checked" firstButton="1" fmlaLink="$K$2"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GBox"/>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file>

<file path=xl/ctrlProps/ctrlProp22.xml><?xml version="1.0" encoding="utf-8"?>
<formControlPr xmlns="http://schemas.microsoft.com/office/spreadsheetml/2009/9/main" objectType="Radio" checked="Checked" firstButton="1" fmlaLink="$K$17"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file>

<file path=xl/ctrlProps/ctrlProp28.xml><?xml version="1.0" encoding="utf-8"?>
<formControlPr xmlns="http://schemas.microsoft.com/office/spreadsheetml/2009/9/main" objectType="GBox"/>
</file>

<file path=xl/ctrlProps/ctrlProp29.xml><?xml version="1.0" encoding="utf-8"?>
<formControlPr xmlns="http://schemas.microsoft.com/office/spreadsheetml/2009/9/main" objectType="GBox"/>
</file>

<file path=xl/ctrlProps/ctrlProp3.xml><?xml version="1.0" encoding="utf-8"?>
<formControlPr xmlns="http://schemas.microsoft.com/office/spreadsheetml/2009/9/main" objectType="GBox"/>
</file>

<file path=xl/ctrlProps/ctrlProp30.xml><?xml version="1.0" encoding="utf-8"?>
<formControlPr xmlns="http://schemas.microsoft.com/office/spreadsheetml/2009/9/main" objectType="GBox"/>
</file>

<file path=xl/ctrlProps/ctrlProp31.xml><?xml version="1.0" encoding="utf-8"?>
<formControlPr xmlns="http://schemas.microsoft.com/office/spreadsheetml/2009/9/main" objectType="GBox"/>
</file>

<file path=xl/ctrlProps/ctrlProp32.xml><?xml version="1.0" encoding="utf-8"?>
<formControlPr xmlns="http://schemas.microsoft.com/office/spreadsheetml/2009/9/main" objectType="GBox"/>
</file>

<file path=xl/ctrlProps/ctrlProp33.xml><?xml version="1.0" encoding="utf-8"?>
<formControlPr xmlns="http://schemas.microsoft.com/office/spreadsheetml/2009/9/main" objectType="Radio" checked="Checked" firstButton="1" fmlaLink="$H$25"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GBox"/>
</file>

<file path=xl/ctrlProps/ctrlProp36.xml><?xml version="1.0" encoding="utf-8"?>
<formControlPr xmlns="http://schemas.microsoft.com/office/spreadsheetml/2009/9/main" objectType="GBox"/>
</file>

<file path=xl/ctrlProps/ctrlProp37.xml><?xml version="1.0" encoding="utf-8"?>
<formControlPr xmlns="http://schemas.microsoft.com/office/spreadsheetml/2009/9/main" objectType="GBox"/>
</file>

<file path=xl/ctrlProps/ctrlProp38.xml><?xml version="1.0" encoding="utf-8"?>
<formControlPr xmlns="http://schemas.microsoft.com/office/spreadsheetml/2009/9/main" objectType="GBox"/>
</file>

<file path=xl/ctrlProps/ctrlProp39.xml><?xml version="1.0" encoding="utf-8"?>
<formControlPr xmlns="http://schemas.microsoft.com/office/spreadsheetml/2009/9/main" objectType="GBox"/>
</file>

<file path=xl/ctrlProps/ctrlProp4.xml><?xml version="1.0" encoding="utf-8"?>
<formControlPr xmlns="http://schemas.microsoft.com/office/spreadsheetml/2009/9/main" objectType="Radio" checked="Checked" firstButton="1" fmlaLink="$O$22" lockText="1" noThreeD="1"/>
</file>

<file path=xl/ctrlProps/ctrlProp40.xml><?xml version="1.0" encoding="utf-8"?>
<formControlPr xmlns="http://schemas.microsoft.com/office/spreadsheetml/2009/9/main" objectType="GBox"/>
</file>

<file path=xl/ctrlProps/ctrlProp41.xml><?xml version="1.0" encoding="utf-8"?>
<formControlPr xmlns="http://schemas.microsoft.com/office/spreadsheetml/2009/9/main" objectType="GBox"/>
</file>

<file path=xl/ctrlProps/ctrlProp42.xml><?xml version="1.0" encoding="utf-8"?>
<formControlPr xmlns="http://schemas.microsoft.com/office/spreadsheetml/2009/9/main" objectType="GBox"/>
</file>

<file path=xl/ctrlProps/ctrlProp43.xml><?xml version="1.0" encoding="utf-8"?>
<formControlPr xmlns="http://schemas.microsoft.com/office/spreadsheetml/2009/9/main" objectType="Radio" firstButton="1" fmlaLink="$O$7" lockText="1" noThreeD="1"/>
</file>

<file path=xl/ctrlProps/ctrlProp44.xml><?xml version="1.0" encoding="utf-8"?>
<formControlPr xmlns="http://schemas.microsoft.com/office/spreadsheetml/2009/9/main" objectType="Radio" checked="Checked" lockText="1" noThreeD="1"/>
</file>

<file path=xl/ctrlProps/ctrlProp45.xml><?xml version="1.0" encoding="utf-8"?>
<formControlPr xmlns="http://schemas.microsoft.com/office/spreadsheetml/2009/9/main" objectType="GBox"/>
</file>

<file path=xl/ctrlProps/ctrlProp46.xml><?xml version="1.0" encoding="utf-8"?>
<formControlPr xmlns="http://schemas.microsoft.com/office/spreadsheetml/2009/9/main" objectType="Radio" firstButton="1" fmlaLink="$O$13" lockText="1" noThreeD="1"/>
</file>

<file path=xl/ctrlProps/ctrlProp47.xml><?xml version="1.0" encoding="utf-8"?>
<formControlPr xmlns="http://schemas.microsoft.com/office/spreadsheetml/2009/9/main" objectType="Radio" checked="Checked" lockText="1" noThreeD="1"/>
</file>

<file path=xl/ctrlProps/ctrlProp48.xml><?xml version="1.0" encoding="utf-8"?>
<formControlPr xmlns="http://schemas.microsoft.com/office/spreadsheetml/2009/9/main" objectType="GBox"/>
</file>

<file path=xl/ctrlProps/ctrlProp49.xml><?xml version="1.0" encoding="utf-8"?>
<formControlPr xmlns="http://schemas.microsoft.com/office/spreadsheetml/2009/9/main" objectType="Radio" firstButton="1" fmlaLink="$O$19"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checked="Checked" lockText="1" noThreeD="1"/>
</file>

<file path=xl/ctrlProps/ctrlProp51.xml><?xml version="1.0" encoding="utf-8"?>
<formControlPr xmlns="http://schemas.microsoft.com/office/spreadsheetml/2009/9/main" objectType="GBox"/>
</file>

<file path=xl/ctrlProps/ctrlProp52.xml><?xml version="1.0" encoding="utf-8"?>
<formControlPr xmlns="http://schemas.microsoft.com/office/spreadsheetml/2009/9/main" objectType="GBox"/>
</file>

<file path=xl/ctrlProps/ctrlProp53.xml><?xml version="1.0" encoding="utf-8"?>
<formControlPr xmlns="http://schemas.microsoft.com/office/spreadsheetml/2009/9/main" objectType="GBox"/>
</file>

<file path=xl/ctrlProps/ctrlProp54.xml><?xml version="1.0" encoding="utf-8"?>
<formControlPr xmlns="http://schemas.microsoft.com/office/spreadsheetml/2009/9/main" objectType="Radio" checked="Checked" firstButton="1" fmlaLink="$O$38" lockText="1" noThreeD="1"/>
</file>

<file path=xl/ctrlProps/ctrlProp5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file>

<file path=xl/drawings/drawing1.xml><?xml version="1.0" encoding="utf-8"?>
<xdr:wsDr xmlns:xdr="http://schemas.openxmlformats.org/drawingml/2006/spreadsheetDrawing" xmlns:a="http://schemas.openxmlformats.org/drawingml/2006/main">
  <xdr:twoCellAnchor editAs="oneCell">
    <xdr:from>
      <xdr:col>1</xdr:col>
      <xdr:colOff>990600</xdr:colOff>
      <xdr:row>42</xdr:row>
      <xdr:rowOff>190500</xdr:rowOff>
    </xdr:from>
    <xdr:to>
      <xdr:col>1</xdr:col>
      <xdr:colOff>1066800</xdr:colOff>
      <xdr:row>43</xdr:row>
      <xdr:rowOff>190500</xdr:rowOff>
    </xdr:to>
    <xdr:sp macro="" textlink="">
      <xdr:nvSpPr>
        <xdr:cNvPr id="11597" name="Text Box 49">
          <a:extLst>
            <a:ext uri="{FF2B5EF4-FFF2-40B4-BE49-F238E27FC236}">
              <a16:creationId xmlns:a16="http://schemas.microsoft.com/office/drawing/2014/main" id="{00000000-0008-0000-0000-00004D2D0000}"/>
            </a:ext>
          </a:extLst>
        </xdr:cNvPr>
        <xdr:cNvSpPr txBox="1">
          <a:spLocks noChangeArrowheads="1"/>
        </xdr:cNvSpPr>
      </xdr:nvSpPr>
      <xdr:spPr bwMode="auto">
        <a:xfrm>
          <a:off x="1752600" y="714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257175</xdr:colOff>
      <xdr:row>106</xdr:row>
      <xdr:rowOff>0</xdr:rowOff>
    </xdr:from>
    <xdr:to>
      <xdr:col>6</xdr:col>
      <xdr:colOff>295275</xdr:colOff>
      <xdr:row>107</xdr:row>
      <xdr:rowOff>38100</xdr:rowOff>
    </xdr:to>
    <xdr:sp macro="" textlink="">
      <xdr:nvSpPr>
        <xdr:cNvPr id="4254" name="Text Box 158">
          <a:extLst>
            <a:ext uri="{FF2B5EF4-FFF2-40B4-BE49-F238E27FC236}">
              <a16:creationId xmlns:a16="http://schemas.microsoft.com/office/drawing/2014/main" id="{00000000-0008-0000-0000-00009E100000}"/>
            </a:ext>
          </a:extLst>
        </xdr:cNvPr>
        <xdr:cNvSpPr txBox="1">
          <a:spLocks noChangeArrowheads="1"/>
        </xdr:cNvSpPr>
      </xdr:nvSpPr>
      <xdr:spPr bwMode="auto">
        <a:xfrm>
          <a:off x="5821680" y="17998440"/>
          <a:ext cx="830580" cy="205740"/>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r>
            <a:rPr lang="nb-NO" sz="1000" b="1" i="0" u="none" strike="noStrike" baseline="0">
              <a:solidFill>
                <a:srgbClr val="000000"/>
              </a:solidFill>
              <a:latin typeface="Arial"/>
              <a:cs typeface="Arial"/>
            </a:rPr>
            <a:t>Sett ovenfra</a:t>
          </a:r>
        </a:p>
      </xdr:txBody>
    </xdr:sp>
    <xdr:clientData/>
  </xdr:twoCellAnchor>
  <xdr:twoCellAnchor>
    <xdr:from>
      <xdr:col>7</xdr:col>
      <xdr:colOff>371475</xdr:colOff>
      <xdr:row>72</xdr:row>
      <xdr:rowOff>142875</xdr:rowOff>
    </xdr:from>
    <xdr:to>
      <xdr:col>10</xdr:col>
      <xdr:colOff>542925</xdr:colOff>
      <xdr:row>72</xdr:row>
      <xdr:rowOff>142875</xdr:rowOff>
    </xdr:to>
    <xdr:sp macro="" textlink="">
      <xdr:nvSpPr>
        <xdr:cNvPr id="11599" name="Line 208">
          <a:extLst>
            <a:ext uri="{FF2B5EF4-FFF2-40B4-BE49-F238E27FC236}">
              <a16:creationId xmlns:a16="http://schemas.microsoft.com/office/drawing/2014/main" id="{00000000-0008-0000-0000-00004F2D0000}"/>
            </a:ext>
          </a:extLst>
        </xdr:cNvPr>
        <xdr:cNvSpPr>
          <a:spLocks noChangeShapeType="1"/>
        </xdr:cNvSpPr>
      </xdr:nvSpPr>
      <xdr:spPr bwMode="auto">
        <a:xfrm flipH="1" flipV="1">
          <a:off x="7639050" y="12144375"/>
          <a:ext cx="2457450" cy="0"/>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123825</xdr:colOff>
      <xdr:row>97</xdr:row>
      <xdr:rowOff>9525</xdr:rowOff>
    </xdr:from>
    <xdr:to>
      <xdr:col>7</xdr:col>
      <xdr:colOff>76200</xdr:colOff>
      <xdr:row>114</xdr:row>
      <xdr:rowOff>9525</xdr:rowOff>
    </xdr:to>
    <xdr:grpSp>
      <xdr:nvGrpSpPr>
        <xdr:cNvPr id="11600" name="Group 381">
          <a:extLst>
            <a:ext uri="{FF2B5EF4-FFF2-40B4-BE49-F238E27FC236}">
              <a16:creationId xmlns:a16="http://schemas.microsoft.com/office/drawing/2014/main" id="{00000000-0008-0000-0000-0000502D0000}"/>
            </a:ext>
          </a:extLst>
        </xdr:cNvPr>
        <xdr:cNvGrpSpPr>
          <a:grpSpLocks/>
        </xdr:cNvGrpSpPr>
      </xdr:nvGrpSpPr>
      <xdr:grpSpPr bwMode="auto">
        <a:xfrm>
          <a:off x="885825" y="16059150"/>
          <a:ext cx="6457950" cy="2752725"/>
          <a:chOff x="93" y="1618"/>
          <a:chExt cx="678" cy="289"/>
        </a:xfrm>
      </xdr:grpSpPr>
      <xdr:sp macro="" textlink="">
        <xdr:nvSpPr>
          <xdr:cNvPr id="11755" name="Oval 164">
            <a:extLst>
              <a:ext uri="{FF2B5EF4-FFF2-40B4-BE49-F238E27FC236}">
                <a16:creationId xmlns:a16="http://schemas.microsoft.com/office/drawing/2014/main" id="{00000000-0008-0000-0000-0000EB2D0000}"/>
              </a:ext>
            </a:extLst>
          </xdr:cNvPr>
          <xdr:cNvSpPr>
            <a:spLocks noChangeArrowheads="1"/>
          </xdr:cNvSpPr>
        </xdr:nvSpPr>
        <xdr:spPr bwMode="auto">
          <a:xfrm>
            <a:off x="508" y="1648"/>
            <a:ext cx="263" cy="259"/>
          </a:xfrm>
          <a:prstGeom prst="ellipse">
            <a:avLst/>
          </a:prstGeom>
          <a:solidFill>
            <a:srgbClr val="FFFFFF"/>
          </a:solidFill>
          <a:ln w="25400">
            <a:solidFill>
              <a:srgbClr val="0000FF"/>
            </a:solidFill>
            <a:round/>
            <a:headEnd/>
            <a:tailEnd/>
          </a:ln>
        </xdr:spPr>
      </xdr:sp>
      <xdr:sp macro="" textlink="">
        <xdr:nvSpPr>
          <xdr:cNvPr id="11756" name="Rectangle 134">
            <a:extLst>
              <a:ext uri="{FF2B5EF4-FFF2-40B4-BE49-F238E27FC236}">
                <a16:creationId xmlns:a16="http://schemas.microsoft.com/office/drawing/2014/main" id="{00000000-0008-0000-0000-0000EC2D0000}"/>
              </a:ext>
            </a:extLst>
          </xdr:cNvPr>
          <xdr:cNvSpPr>
            <a:spLocks noChangeArrowheads="1"/>
          </xdr:cNvSpPr>
        </xdr:nvSpPr>
        <xdr:spPr bwMode="auto">
          <a:xfrm>
            <a:off x="93" y="1732"/>
            <a:ext cx="259" cy="105"/>
          </a:xfrm>
          <a:prstGeom prst="rect">
            <a:avLst/>
          </a:prstGeom>
          <a:solidFill>
            <a:srgbClr val="FFFFFF"/>
          </a:solidFill>
          <a:ln w="25400">
            <a:solidFill>
              <a:srgbClr val="0000FF"/>
            </a:solidFill>
            <a:miter lim="800000"/>
            <a:headEnd/>
            <a:tailEnd/>
          </a:ln>
        </xdr:spPr>
      </xdr:sp>
      <xdr:sp macro="" textlink="">
        <xdr:nvSpPr>
          <xdr:cNvPr id="11757" name="Line 135">
            <a:extLst>
              <a:ext uri="{FF2B5EF4-FFF2-40B4-BE49-F238E27FC236}">
                <a16:creationId xmlns:a16="http://schemas.microsoft.com/office/drawing/2014/main" id="{00000000-0008-0000-0000-0000ED2D0000}"/>
              </a:ext>
            </a:extLst>
          </xdr:cNvPr>
          <xdr:cNvSpPr>
            <a:spLocks noChangeShapeType="1"/>
          </xdr:cNvSpPr>
        </xdr:nvSpPr>
        <xdr:spPr bwMode="auto">
          <a:xfrm>
            <a:off x="93" y="1683"/>
            <a:ext cx="26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11758" name="Line 136">
            <a:extLst>
              <a:ext uri="{FF2B5EF4-FFF2-40B4-BE49-F238E27FC236}">
                <a16:creationId xmlns:a16="http://schemas.microsoft.com/office/drawing/2014/main" id="{00000000-0008-0000-0000-0000EE2D0000}"/>
              </a:ext>
            </a:extLst>
          </xdr:cNvPr>
          <xdr:cNvSpPr>
            <a:spLocks noChangeShapeType="1"/>
          </xdr:cNvSpPr>
        </xdr:nvSpPr>
        <xdr:spPr bwMode="auto">
          <a:xfrm flipV="1">
            <a:off x="93" y="1669"/>
            <a:ext cx="0" cy="68"/>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sp macro="" textlink="">
        <xdr:nvSpPr>
          <xdr:cNvPr id="11759" name="Line 137">
            <a:extLst>
              <a:ext uri="{FF2B5EF4-FFF2-40B4-BE49-F238E27FC236}">
                <a16:creationId xmlns:a16="http://schemas.microsoft.com/office/drawing/2014/main" id="{00000000-0008-0000-0000-0000EF2D0000}"/>
              </a:ext>
            </a:extLst>
          </xdr:cNvPr>
          <xdr:cNvSpPr>
            <a:spLocks noChangeShapeType="1"/>
          </xdr:cNvSpPr>
        </xdr:nvSpPr>
        <xdr:spPr bwMode="auto">
          <a:xfrm flipV="1">
            <a:off x="352" y="1669"/>
            <a:ext cx="0" cy="68"/>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sp macro="" textlink="">
        <xdr:nvSpPr>
          <xdr:cNvPr id="11760" name="Line 138">
            <a:extLst>
              <a:ext uri="{FF2B5EF4-FFF2-40B4-BE49-F238E27FC236}">
                <a16:creationId xmlns:a16="http://schemas.microsoft.com/office/drawing/2014/main" id="{00000000-0008-0000-0000-0000F02D0000}"/>
              </a:ext>
            </a:extLst>
          </xdr:cNvPr>
          <xdr:cNvSpPr>
            <a:spLocks noChangeShapeType="1"/>
          </xdr:cNvSpPr>
        </xdr:nvSpPr>
        <xdr:spPr bwMode="auto">
          <a:xfrm>
            <a:off x="352" y="1837"/>
            <a:ext cx="4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sp macro="" textlink="">
        <xdr:nvSpPr>
          <xdr:cNvPr id="11761" name="Line 139">
            <a:extLst>
              <a:ext uri="{FF2B5EF4-FFF2-40B4-BE49-F238E27FC236}">
                <a16:creationId xmlns:a16="http://schemas.microsoft.com/office/drawing/2014/main" id="{00000000-0008-0000-0000-0000F12D0000}"/>
              </a:ext>
            </a:extLst>
          </xdr:cNvPr>
          <xdr:cNvSpPr>
            <a:spLocks noChangeShapeType="1"/>
          </xdr:cNvSpPr>
        </xdr:nvSpPr>
        <xdr:spPr bwMode="auto">
          <a:xfrm>
            <a:off x="353" y="1732"/>
            <a:ext cx="4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sp macro="" textlink="">
        <xdr:nvSpPr>
          <xdr:cNvPr id="11762" name="Line 140">
            <a:extLst>
              <a:ext uri="{FF2B5EF4-FFF2-40B4-BE49-F238E27FC236}">
                <a16:creationId xmlns:a16="http://schemas.microsoft.com/office/drawing/2014/main" id="{00000000-0008-0000-0000-0000F22D0000}"/>
              </a:ext>
            </a:extLst>
          </xdr:cNvPr>
          <xdr:cNvSpPr>
            <a:spLocks noChangeShapeType="1"/>
          </xdr:cNvSpPr>
        </xdr:nvSpPr>
        <xdr:spPr bwMode="auto">
          <a:xfrm flipV="1">
            <a:off x="375" y="1732"/>
            <a:ext cx="0" cy="105"/>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4237" name="Text Box 141">
            <a:extLst>
              <a:ext uri="{FF2B5EF4-FFF2-40B4-BE49-F238E27FC236}">
                <a16:creationId xmlns:a16="http://schemas.microsoft.com/office/drawing/2014/main" id="{00000000-0008-0000-0000-00008D100000}"/>
              </a:ext>
            </a:extLst>
          </xdr:cNvPr>
          <xdr:cNvSpPr txBox="1">
            <a:spLocks noChangeArrowheads="1"/>
          </xdr:cNvSpPr>
        </xdr:nvSpPr>
        <xdr:spPr bwMode="auto">
          <a:xfrm>
            <a:off x="178" y="1656"/>
            <a:ext cx="99" cy="21"/>
          </a:xfrm>
          <a:prstGeom prst="rect">
            <a:avLst/>
          </a:prstGeom>
          <a:noFill/>
          <a:ln w="9525">
            <a:noFill/>
            <a:miter lim="800000"/>
            <a:headEnd/>
            <a:tailEnd/>
          </a:ln>
        </xdr:spPr>
        <xdr:txBody>
          <a:bodyPr vertOverflow="clip" wrap="square" lIns="36576" tIns="27432" rIns="0" bIns="0" anchor="t" upright="1"/>
          <a:lstStyle/>
          <a:p>
            <a:pPr algn="l" rtl="0">
              <a:defRPr sz="1000"/>
            </a:pPr>
            <a:r>
              <a:rPr lang="nb-NO" sz="1000" b="0" i="0" u="none" strike="noStrike" baseline="0">
                <a:solidFill>
                  <a:srgbClr val="000000"/>
                </a:solidFill>
                <a:latin typeface="Arial"/>
                <a:cs typeface="Arial"/>
              </a:rPr>
              <a:t>Byggets bredde</a:t>
            </a:r>
          </a:p>
        </xdr:txBody>
      </xdr:sp>
      <xdr:sp macro="" textlink="">
        <xdr:nvSpPr>
          <xdr:cNvPr id="4238" name="Text Box 142">
            <a:extLst>
              <a:ext uri="{FF2B5EF4-FFF2-40B4-BE49-F238E27FC236}">
                <a16:creationId xmlns:a16="http://schemas.microsoft.com/office/drawing/2014/main" id="{00000000-0008-0000-0000-00008E100000}"/>
              </a:ext>
            </a:extLst>
          </xdr:cNvPr>
          <xdr:cNvSpPr txBox="1">
            <a:spLocks noChangeArrowheads="1"/>
          </xdr:cNvSpPr>
        </xdr:nvSpPr>
        <xdr:spPr bwMode="auto">
          <a:xfrm>
            <a:off x="387" y="1769"/>
            <a:ext cx="95" cy="22"/>
          </a:xfrm>
          <a:prstGeom prst="rect">
            <a:avLst/>
          </a:prstGeom>
          <a:noFill/>
          <a:ln w="9525">
            <a:noFill/>
            <a:miter lim="800000"/>
            <a:headEnd/>
            <a:tailEnd/>
          </a:ln>
        </xdr:spPr>
        <xdr:txBody>
          <a:bodyPr vertOverflow="clip" wrap="square" lIns="36576" tIns="27432" rIns="0" bIns="0" anchor="t" upright="1"/>
          <a:lstStyle/>
          <a:p>
            <a:pPr algn="l" rtl="0">
              <a:defRPr sz="1000"/>
            </a:pPr>
            <a:r>
              <a:rPr lang="nb-NO" sz="1000" b="0" i="0" u="none" strike="noStrike" baseline="0">
                <a:solidFill>
                  <a:srgbClr val="000000"/>
                </a:solidFill>
                <a:latin typeface="Arial"/>
                <a:cs typeface="Arial"/>
              </a:rPr>
              <a:t>Byggets høyde</a:t>
            </a:r>
          </a:p>
        </xdr:txBody>
      </xdr:sp>
      <xdr:sp macro="" textlink="">
        <xdr:nvSpPr>
          <xdr:cNvPr id="11765" name="Line 144">
            <a:extLst>
              <a:ext uri="{FF2B5EF4-FFF2-40B4-BE49-F238E27FC236}">
                <a16:creationId xmlns:a16="http://schemas.microsoft.com/office/drawing/2014/main" id="{00000000-0008-0000-0000-0000F52D0000}"/>
              </a:ext>
            </a:extLst>
          </xdr:cNvPr>
          <xdr:cNvSpPr>
            <a:spLocks noChangeShapeType="1"/>
          </xdr:cNvSpPr>
        </xdr:nvSpPr>
        <xdr:spPr bwMode="auto">
          <a:xfrm>
            <a:off x="508" y="1642"/>
            <a:ext cx="261"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11766" name="Line 145">
            <a:extLst>
              <a:ext uri="{FF2B5EF4-FFF2-40B4-BE49-F238E27FC236}">
                <a16:creationId xmlns:a16="http://schemas.microsoft.com/office/drawing/2014/main" id="{00000000-0008-0000-0000-0000F62D0000}"/>
              </a:ext>
            </a:extLst>
          </xdr:cNvPr>
          <xdr:cNvSpPr>
            <a:spLocks noChangeShapeType="1"/>
          </xdr:cNvSpPr>
        </xdr:nvSpPr>
        <xdr:spPr bwMode="auto">
          <a:xfrm flipV="1">
            <a:off x="506" y="1627"/>
            <a:ext cx="2" cy="144"/>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sp macro="" textlink="">
        <xdr:nvSpPr>
          <xdr:cNvPr id="11767" name="Line 146">
            <a:extLst>
              <a:ext uri="{FF2B5EF4-FFF2-40B4-BE49-F238E27FC236}">
                <a16:creationId xmlns:a16="http://schemas.microsoft.com/office/drawing/2014/main" id="{00000000-0008-0000-0000-0000F72D0000}"/>
              </a:ext>
            </a:extLst>
          </xdr:cNvPr>
          <xdr:cNvSpPr>
            <a:spLocks noChangeShapeType="1"/>
          </xdr:cNvSpPr>
        </xdr:nvSpPr>
        <xdr:spPr bwMode="auto">
          <a:xfrm flipV="1">
            <a:off x="769" y="1627"/>
            <a:ext cx="0" cy="14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sp macro="" textlink="">
        <xdr:nvSpPr>
          <xdr:cNvPr id="4246" name="Text Box 150">
            <a:extLst>
              <a:ext uri="{FF2B5EF4-FFF2-40B4-BE49-F238E27FC236}">
                <a16:creationId xmlns:a16="http://schemas.microsoft.com/office/drawing/2014/main" id="{00000000-0008-0000-0000-000096100000}"/>
              </a:ext>
            </a:extLst>
          </xdr:cNvPr>
          <xdr:cNvSpPr txBox="1">
            <a:spLocks noChangeArrowheads="1"/>
          </xdr:cNvSpPr>
        </xdr:nvSpPr>
        <xdr:spPr bwMode="auto">
          <a:xfrm>
            <a:off x="593" y="1618"/>
            <a:ext cx="100" cy="21"/>
          </a:xfrm>
          <a:prstGeom prst="rect">
            <a:avLst/>
          </a:prstGeom>
          <a:noFill/>
          <a:ln w="9525">
            <a:noFill/>
            <a:miter lim="800000"/>
            <a:headEnd/>
            <a:tailEnd/>
          </a:ln>
        </xdr:spPr>
        <xdr:txBody>
          <a:bodyPr vertOverflow="clip" wrap="square" lIns="36576" tIns="27432" rIns="0" bIns="0" anchor="t" upright="1"/>
          <a:lstStyle/>
          <a:p>
            <a:pPr algn="l" rtl="0">
              <a:defRPr sz="1000"/>
            </a:pPr>
            <a:r>
              <a:rPr lang="nb-NO" sz="1000" b="0" i="0" u="none" strike="noStrike" baseline="0">
                <a:solidFill>
                  <a:srgbClr val="000000"/>
                </a:solidFill>
                <a:latin typeface="Arial"/>
                <a:cs typeface="Arial"/>
              </a:rPr>
              <a:t>Byggets bredde</a:t>
            </a:r>
          </a:p>
        </xdr:txBody>
      </xdr:sp>
      <xdr:sp macro="" textlink="">
        <xdr:nvSpPr>
          <xdr:cNvPr id="11769" name="Line 153">
            <a:extLst>
              <a:ext uri="{FF2B5EF4-FFF2-40B4-BE49-F238E27FC236}">
                <a16:creationId xmlns:a16="http://schemas.microsoft.com/office/drawing/2014/main" id="{00000000-0008-0000-0000-0000F92D0000}"/>
              </a:ext>
            </a:extLst>
          </xdr:cNvPr>
          <xdr:cNvSpPr>
            <a:spLocks noChangeShapeType="1"/>
          </xdr:cNvSpPr>
        </xdr:nvSpPr>
        <xdr:spPr bwMode="auto">
          <a:xfrm>
            <a:off x="222" y="1701"/>
            <a:ext cx="176"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sp macro="" textlink="">
        <xdr:nvSpPr>
          <xdr:cNvPr id="11770" name="Line 154">
            <a:extLst>
              <a:ext uri="{FF2B5EF4-FFF2-40B4-BE49-F238E27FC236}">
                <a16:creationId xmlns:a16="http://schemas.microsoft.com/office/drawing/2014/main" id="{00000000-0008-0000-0000-0000FA2D0000}"/>
              </a:ext>
            </a:extLst>
          </xdr:cNvPr>
          <xdr:cNvSpPr>
            <a:spLocks noChangeShapeType="1"/>
          </xdr:cNvSpPr>
        </xdr:nvSpPr>
        <xdr:spPr bwMode="auto">
          <a:xfrm flipV="1">
            <a:off x="375" y="1701"/>
            <a:ext cx="0" cy="31"/>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4251" name="Text Box 155">
            <a:extLst>
              <a:ext uri="{FF2B5EF4-FFF2-40B4-BE49-F238E27FC236}">
                <a16:creationId xmlns:a16="http://schemas.microsoft.com/office/drawing/2014/main" id="{00000000-0008-0000-0000-00009B100000}"/>
              </a:ext>
            </a:extLst>
          </xdr:cNvPr>
          <xdr:cNvSpPr txBox="1">
            <a:spLocks noChangeArrowheads="1"/>
          </xdr:cNvSpPr>
        </xdr:nvSpPr>
        <xdr:spPr bwMode="auto">
          <a:xfrm>
            <a:off x="385" y="1707"/>
            <a:ext cx="80" cy="23"/>
          </a:xfrm>
          <a:prstGeom prst="rect">
            <a:avLst/>
          </a:prstGeom>
          <a:noFill/>
          <a:ln w="9525">
            <a:noFill/>
            <a:miter lim="800000"/>
            <a:headEnd/>
            <a:tailEnd/>
          </a:ln>
        </xdr:spPr>
        <xdr:txBody>
          <a:bodyPr vertOverflow="clip" wrap="square" lIns="36576" tIns="27432" rIns="0" bIns="0" anchor="t" upright="1"/>
          <a:lstStyle/>
          <a:p>
            <a:pPr algn="l" rtl="0">
              <a:defRPr sz="1000"/>
            </a:pPr>
            <a:r>
              <a:rPr lang="nb-NO" sz="1000" b="0" i="0" u="none" strike="noStrike" baseline="0">
                <a:solidFill>
                  <a:srgbClr val="000000"/>
                </a:solidFill>
                <a:latin typeface="Arial"/>
                <a:cs typeface="Arial"/>
              </a:rPr>
              <a:t>Takhøyde</a:t>
            </a:r>
          </a:p>
        </xdr:txBody>
      </xdr:sp>
      <xdr:sp macro="" textlink="">
        <xdr:nvSpPr>
          <xdr:cNvPr id="11772" name="Freeform 160">
            <a:extLst>
              <a:ext uri="{FF2B5EF4-FFF2-40B4-BE49-F238E27FC236}">
                <a16:creationId xmlns:a16="http://schemas.microsoft.com/office/drawing/2014/main" id="{00000000-0008-0000-0000-0000FC2D0000}"/>
              </a:ext>
            </a:extLst>
          </xdr:cNvPr>
          <xdr:cNvSpPr>
            <a:spLocks/>
          </xdr:cNvSpPr>
        </xdr:nvSpPr>
        <xdr:spPr bwMode="auto">
          <a:xfrm>
            <a:off x="93" y="1702"/>
            <a:ext cx="259" cy="30"/>
          </a:xfrm>
          <a:custGeom>
            <a:avLst/>
            <a:gdLst>
              <a:gd name="T0" fmla="*/ 0 w 259"/>
              <a:gd name="T1" fmla="*/ 28 h 31"/>
              <a:gd name="T2" fmla="*/ 130 w 259"/>
              <a:gd name="T3" fmla="*/ 0 h 31"/>
              <a:gd name="T4" fmla="*/ 259 w 259"/>
              <a:gd name="T5" fmla="*/ 27 h 31"/>
              <a:gd name="T6" fmla="*/ 0 60000 65536"/>
              <a:gd name="T7" fmla="*/ 0 60000 65536"/>
              <a:gd name="T8" fmla="*/ 0 60000 65536"/>
              <a:gd name="T9" fmla="*/ 0 w 259"/>
              <a:gd name="T10" fmla="*/ 0 h 31"/>
              <a:gd name="T11" fmla="*/ 259 w 259"/>
              <a:gd name="T12" fmla="*/ 31 h 31"/>
            </a:gdLst>
            <a:ahLst/>
            <a:cxnLst>
              <a:cxn ang="T6">
                <a:pos x="T0" y="T1"/>
              </a:cxn>
              <a:cxn ang="T7">
                <a:pos x="T2" y="T3"/>
              </a:cxn>
              <a:cxn ang="T8">
                <a:pos x="T4" y="T5"/>
              </a:cxn>
            </a:cxnLst>
            <a:rect l="T9" t="T10" r="T11" b="T12"/>
            <a:pathLst>
              <a:path w="259" h="31">
                <a:moveTo>
                  <a:pt x="0" y="31"/>
                </a:moveTo>
                <a:cubicBezTo>
                  <a:pt x="43" y="15"/>
                  <a:pt x="87" y="0"/>
                  <a:pt x="130" y="0"/>
                </a:cubicBezTo>
                <a:cubicBezTo>
                  <a:pt x="173" y="0"/>
                  <a:pt x="216" y="15"/>
                  <a:pt x="259" y="30"/>
                </a:cubicBezTo>
              </a:path>
            </a:pathLst>
          </a:custGeom>
          <a:noFill/>
          <a:ln w="25400" cap="flat" cmpd="sng">
            <a:solidFill>
              <a:srgbClr val="0000FF"/>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11773" name="Oval 234">
            <a:extLst>
              <a:ext uri="{FF2B5EF4-FFF2-40B4-BE49-F238E27FC236}">
                <a16:creationId xmlns:a16="http://schemas.microsoft.com/office/drawing/2014/main" id="{00000000-0008-0000-0000-0000FD2D0000}"/>
              </a:ext>
            </a:extLst>
          </xdr:cNvPr>
          <xdr:cNvSpPr>
            <a:spLocks noChangeArrowheads="1"/>
          </xdr:cNvSpPr>
        </xdr:nvSpPr>
        <xdr:spPr bwMode="auto">
          <a:xfrm>
            <a:off x="527" y="1664"/>
            <a:ext cx="224" cy="226"/>
          </a:xfrm>
          <a:prstGeom prst="ellipse">
            <a:avLst/>
          </a:prstGeom>
          <a:solidFill>
            <a:srgbClr val="FFFFFF"/>
          </a:solidFill>
          <a:ln w="12700">
            <a:solidFill>
              <a:srgbClr val="FF0000"/>
            </a:solidFill>
            <a:prstDash val="dash"/>
            <a:round/>
            <a:headEnd/>
            <a:tailEnd/>
          </a:ln>
        </xdr:spPr>
      </xdr:sp>
    </xdr:grpSp>
    <xdr:clientData/>
  </xdr:twoCellAnchor>
  <xdr:twoCellAnchor>
    <xdr:from>
      <xdr:col>8</xdr:col>
      <xdr:colOff>38100</xdr:colOff>
      <xdr:row>68</xdr:row>
      <xdr:rowOff>142875</xdr:rowOff>
    </xdr:from>
    <xdr:to>
      <xdr:col>8</xdr:col>
      <xdr:colOff>38100</xdr:colOff>
      <xdr:row>70</xdr:row>
      <xdr:rowOff>38100</xdr:rowOff>
    </xdr:to>
    <xdr:sp macro="" textlink="">
      <xdr:nvSpPr>
        <xdr:cNvPr id="11601" name="Line 261">
          <a:extLst>
            <a:ext uri="{FF2B5EF4-FFF2-40B4-BE49-F238E27FC236}">
              <a16:creationId xmlns:a16="http://schemas.microsoft.com/office/drawing/2014/main" id="{00000000-0008-0000-0000-0000512D0000}"/>
            </a:ext>
          </a:extLst>
        </xdr:cNvPr>
        <xdr:cNvSpPr>
          <a:spLocks noChangeShapeType="1"/>
        </xdr:cNvSpPr>
      </xdr:nvSpPr>
      <xdr:spPr bwMode="auto">
        <a:xfrm rot="-5400000">
          <a:off x="7958137" y="11606213"/>
          <a:ext cx="219075" cy="0"/>
        </a:xfrm>
        <a:prstGeom prst="line">
          <a:avLst/>
        </a:prstGeom>
        <a:noFill/>
        <a:ln w="12700">
          <a:solidFill>
            <a:srgbClr val="FF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590550</xdr:colOff>
      <xdr:row>72</xdr:row>
      <xdr:rowOff>38100</xdr:rowOff>
    </xdr:from>
    <xdr:to>
      <xdr:col>10</xdr:col>
      <xdr:colOff>304800</xdr:colOff>
      <xdr:row>72</xdr:row>
      <xdr:rowOff>38100</xdr:rowOff>
    </xdr:to>
    <xdr:sp macro="" textlink="">
      <xdr:nvSpPr>
        <xdr:cNvPr id="11602" name="Line 283">
          <a:extLst>
            <a:ext uri="{FF2B5EF4-FFF2-40B4-BE49-F238E27FC236}">
              <a16:creationId xmlns:a16="http://schemas.microsoft.com/office/drawing/2014/main" id="{00000000-0008-0000-0000-0000522D0000}"/>
            </a:ext>
          </a:extLst>
        </xdr:cNvPr>
        <xdr:cNvSpPr>
          <a:spLocks noChangeShapeType="1"/>
        </xdr:cNvSpPr>
      </xdr:nvSpPr>
      <xdr:spPr bwMode="auto">
        <a:xfrm>
          <a:off x="7858125" y="12039600"/>
          <a:ext cx="2000250" cy="0"/>
        </a:xfrm>
        <a:prstGeom prst="line">
          <a:avLst/>
        </a:prstGeom>
        <a:noFill/>
        <a:ln w="12700">
          <a:solidFill>
            <a:srgbClr val="FF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609600</xdr:colOff>
      <xdr:row>73</xdr:row>
      <xdr:rowOff>76200</xdr:rowOff>
    </xdr:from>
    <xdr:to>
      <xdr:col>10</xdr:col>
      <xdr:colOff>323850</xdr:colOff>
      <xdr:row>73</xdr:row>
      <xdr:rowOff>76200</xdr:rowOff>
    </xdr:to>
    <xdr:sp macro="" textlink="">
      <xdr:nvSpPr>
        <xdr:cNvPr id="11603" name="Line 284">
          <a:extLst>
            <a:ext uri="{FF2B5EF4-FFF2-40B4-BE49-F238E27FC236}">
              <a16:creationId xmlns:a16="http://schemas.microsoft.com/office/drawing/2014/main" id="{00000000-0008-0000-0000-0000532D0000}"/>
            </a:ext>
          </a:extLst>
        </xdr:cNvPr>
        <xdr:cNvSpPr>
          <a:spLocks noChangeShapeType="1"/>
        </xdr:cNvSpPr>
      </xdr:nvSpPr>
      <xdr:spPr bwMode="auto">
        <a:xfrm>
          <a:off x="7877175" y="12239625"/>
          <a:ext cx="2000250" cy="0"/>
        </a:xfrm>
        <a:prstGeom prst="line">
          <a:avLst/>
        </a:prstGeom>
        <a:noFill/>
        <a:ln w="12700">
          <a:solidFill>
            <a:srgbClr val="FF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51</xdr:row>
      <xdr:rowOff>0</xdr:rowOff>
    </xdr:from>
    <xdr:to>
      <xdr:col>12</xdr:col>
      <xdr:colOff>200025</xdr:colOff>
      <xdr:row>61</xdr:row>
      <xdr:rowOff>133350</xdr:rowOff>
    </xdr:to>
    <xdr:grpSp>
      <xdr:nvGrpSpPr>
        <xdr:cNvPr id="11604" name="Group 374">
          <a:extLst>
            <a:ext uri="{FF2B5EF4-FFF2-40B4-BE49-F238E27FC236}">
              <a16:creationId xmlns:a16="http://schemas.microsoft.com/office/drawing/2014/main" id="{00000000-0008-0000-0000-0000542D0000}"/>
            </a:ext>
          </a:extLst>
        </xdr:cNvPr>
        <xdr:cNvGrpSpPr>
          <a:grpSpLocks/>
        </xdr:cNvGrpSpPr>
      </xdr:nvGrpSpPr>
      <xdr:grpSpPr bwMode="auto">
        <a:xfrm>
          <a:off x="914400" y="8601075"/>
          <a:ext cx="10363200" cy="1752600"/>
          <a:chOff x="96" y="835"/>
          <a:chExt cx="1089" cy="184"/>
        </a:xfrm>
      </xdr:grpSpPr>
      <xdr:sp macro="" textlink="">
        <xdr:nvSpPr>
          <xdr:cNvPr id="11713" name="Rectangle 60">
            <a:extLst>
              <a:ext uri="{FF2B5EF4-FFF2-40B4-BE49-F238E27FC236}">
                <a16:creationId xmlns:a16="http://schemas.microsoft.com/office/drawing/2014/main" id="{00000000-0008-0000-0000-0000C12D0000}"/>
              </a:ext>
            </a:extLst>
          </xdr:cNvPr>
          <xdr:cNvSpPr>
            <a:spLocks noChangeArrowheads="1"/>
          </xdr:cNvSpPr>
        </xdr:nvSpPr>
        <xdr:spPr bwMode="auto">
          <a:xfrm>
            <a:off x="800" y="879"/>
            <a:ext cx="259" cy="140"/>
          </a:xfrm>
          <a:prstGeom prst="rect">
            <a:avLst/>
          </a:prstGeom>
          <a:solidFill>
            <a:srgbClr val="FFFFFF"/>
          </a:solidFill>
          <a:ln w="25400">
            <a:solidFill>
              <a:srgbClr val="0000FF"/>
            </a:solidFill>
            <a:miter lim="800000"/>
            <a:headEnd/>
            <a:tailEnd/>
          </a:ln>
        </xdr:spPr>
      </xdr:sp>
      <xdr:sp macro="" textlink="">
        <xdr:nvSpPr>
          <xdr:cNvPr id="11714" name="Rectangle 265">
            <a:extLst>
              <a:ext uri="{FF2B5EF4-FFF2-40B4-BE49-F238E27FC236}">
                <a16:creationId xmlns:a16="http://schemas.microsoft.com/office/drawing/2014/main" id="{00000000-0008-0000-0000-0000C22D0000}"/>
              </a:ext>
            </a:extLst>
          </xdr:cNvPr>
          <xdr:cNvSpPr>
            <a:spLocks noChangeArrowheads="1"/>
          </xdr:cNvSpPr>
        </xdr:nvSpPr>
        <xdr:spPr bwMode="auto">
          <a:xfrm>
            <a:off x="823" y="903"/>
            <a:ext cx="210" cy="90"/>
          </a:xfrm>
          <a:prstGeom prst="rect">
            <a:avLst/>
          </a:prstGeom>
          <a:solidFill>
            <a:srgbClr val="FFFFFF">
              <a:alpha val="0"/>
            </a:srgbClr>
          </a:solidFill>
          <a:ln w="12700">
            <a:solidFill>
              <a:srgbClr val="FF0000"/>
            </a:solidFill>
            <a:prstDash val="dash"/>
            <a:miter lim="800000"/>
            <a:headEnd/>
            <a:tailEnd/>
          </a:ln>
        </xdr:spPr>
      </xdr:sp>
      <xdr:sp macro="" textlink="">
        <xdr:nvSpPr>
          <xdr:cNvPr id="11715" name="Rectangle 51">
            <a:extLst>
              <a:ext uri="{FF2B5EF4-FFF2-40B4-BE49-F238E27FC236}">
                <a16:creationId xmlns:a16="http://schemas.microsoft.com/office/drawing/2014/main" id="{00000000-0008-0000-0000-0000C32D0000}"/>
              </a:ext>
            </a:extLst>
          </xdr:cNvPr>
          <xdr:cNvSpPr>
            <a:spLocks noChangeArrowheads="1"/>
          </xdr:cNvSpPr>
        </xdr:nvSpPr>
        <xdr:spPr bwMode="auto">
          <a:xfrm>
            <a:off x="96" y="912"/>
            <a:ext cx="259" cy="105"/>
          </a:xfrm>
          <a:prstGeom prst="rect">
            <a:avLst/>
          </a:prstGeom>
          <a:solidFill>
            <a:srgbClr val="FFFFFF"/>
          </a:solidFill>
          <a:ln w="25400">
            <a:solidFill>
              <a:srgbClr val="0000FF"/>
            </a:solidFill>
            <a:miter lim="800000"/>
            <a:headEnd/>
            <a:tailEnd/>
          </a:ln>
        </xdr:spPr>
      </xdr:sp>
      <xdr:sp macro="" textlink="">
        <xdr:nvSpPr>
          <xdr:cNvPr id="11716" name="Line 52">
            <a:extLst>
              <a:ext uri="{FF2B5EF4-FFF2-40B4-BE49-F238E27FC236}">
                <a16:creationId xmlns:a16="http://schemas.microsoft.com/office/drawing/2014/main" id="{00000000-0008-0000-0000-0000C42D0000}"/>
              </a:ext>
            </a:extLst>
          </xdr:cNvPr>
          <xdr:cNvSpPr>
            <a:spLocks noChangeShapeType="1"/>
          </xdr:cNvSpPr>
        </xdr:nvSpPr>
        <xdr:spPr bwMode="auto">
          <a:xfrm>
            <a:off x="96" y="863"/>
            <a:ext cx="26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11717" name="Line 53">
            <a:extLst>
              <a:ext uri="{FF2B5EF4-FFF2-40B4-BE49-F238E27FC236}">
                <a16:creationId xmlns:a16="http://schemas.microsoft.com/office/drawing/2014/main" id="{00000000-0008-0000-0000-0000C52D0000}"/>
              </a:ext>
            </a:extLst>
          </xdr:cNvPr>
          <xdr:cNvSpPr>
            <a:spLocks noChangeShapeType="1"/>
          </xdr:cNvSpPr>
        </xdr:nvSpPr>
        <xdr:spPr bwMode="auto">
          <a:xfrm flipV="1">
            <a:off x="96" y="849"/>
            <a:ext cx="0" cy="68"/>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sp macro="" textlink="">
        <xdr:nvSpPr>
          <xdr:cNvPr id="11718" name="Line 54">
            <a:extLst>
              <a:ext uri="{FF2B5EF4-FFF2-40B4-BE49-F238E27FC236}">
                <a16:creationId xmlns:a16="http://schemas.microsoft.com/office/drawing/2014/main" id="{00000000-0008-0000-0000-0000C62D0000}"/>
              </a:ext>
            </a:extLst>
          </xdr:cNvPr>
          <xdr:cNvSpPr>
            <a:spLocks noChangeShapeType="1"/>
          </xdr:cNvSpPr>
        </xdr:nvSpPr>
        <xdr:spPr bwMode="auto">
          <a:xfrm flipV="1">
            <a:off x="355" y="849"/>
            <a:ext cx="0" cy="68"/>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sp macro="" textlink="">
        <xdr:nvSpPr>
          <xdr:cNvPr id="11719" name="Line 55">
            <a:extLst>
              <a:ext uri="{FF2B5EF4-FFF2-40B4-BE49-F238E27FC236}">
                <a16:creationId xmlns:a16="http://schemas.microsoft.com/office/drawing/2014/main" id="{00000000-0008-0000-0000-0000C72D0000}"/>
              </a:ext>
            </a:extLst>
          </xdr:cNvPr>
          <xdr:cNvSpPr>
            <a:spLocks noChangeShapeType="1"/>
          </xdr:cNvSpPr>
        </xdr:nvSpPr>
        <xdr:spPr bwMode="auto">
          <a:xfrm>
            <a:off x="355" y="1017"/>
            <a:ext cx="152"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sp macro="" textlink="">
        <xdr:nvSpPr>
          <xdr:cNvPr id="11720" name="Line 56">
            <a:extLst>
              <a:ext uri="{FF2B5EF4-FFF2-40B4-BE49-F238E27FC236}">
                <a16:creationId xmlns:a16="http://schemas.microsoft.com/office/drawing/2014/main" id="{00000000-0008-0000-0000-0000C82D0000}"/>
              </a:ext>
            </a:extLst>
          </xdr:cNvPr>
          <xdr:cNvSpPr>
            <a:spLocks noChangeShapeType="1"/>
          </xdr:cNvSpPr>
        </xdr:nvSpPr>
        <xdr:spPr bwMode="auto">
          <a:xfrm>
            <a:off x="356" y="912"/>
            <a:ext cx="1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sp macro="" textlink="">
        <xdr:nvSpPr>
          <xdr:cNvPr id="11721" name="Line 57">
            <a:extLst>
              <a:ext uri="{FF2B5EF4-FFF2-40B4-BE49-F238E27FC236}">
                <a16:creationId xmlns:a16="http://schemas.microsoft.com/office/drawing/2014/main" id="{00000000-0008-0000-0000-0000C92D0000}"/>
              </a:ext>
            </a:extLst>
          </xdr:cNvPr>
          <xdr:cNvSpPr>
            <a:spLocks noChangeShapeType="1"/>
          </xdr:cNvSpPr>
        </xdr:nvSpPr>
        <xdr:spPr bwMode="auto">
          <a:xfrm flipV="1">
            <a:off x="378" y="912"/>
            <a:ext cx="0" cy="105"/>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4154" name="Text Box 58">
            <a:extLst>
              <a:ext uri="{FF2B5EF4-FFF2-40B4-BE49-F238E27FC236}">
                <a16:creationId xmlns:a16="http://schemas.microsoft.com/office/drawing/2014/main" id="{00000000-0008-0000-0000-00003A100000}"/>
              </a:ext>
            </a:extLst>
          </xdr:cNvPr>
          <xdr:cNvSpPr txBox="1">
            <a:spLocks noChangeArrowheads="1"/>
          </xdr:cNvSpPr>
        </xdr:nvSpPr>
        <xdr:spPr bwMode="auto">
          <a:xfrm>
            <a:off x="182" y="839"/>
            <a:ext cx="94" cy="20"/>
          </a:xfrm>
          <a:prstGeom prst="rect">
            <a:avLst/>
          </a:prstGeom>
          <a:noFill/>
          <a:ln w="9525">
            <a:noFill/>
            <a:miter lim="800000"/>
            <a:headEnd/>
            <a:tailEnd/>
          </a:ln>
        </xdr:spPr>
        <xdr:txBody>
          <a:bodyPr wrap="none" lIns="27432" tIns="27432" rIns="0" bIns="0" anchor="t" upright="1">
            <a:spAutoFit/>
          </a:bodyPr>
          <a:lstStyle/>
          <a:p>
            <a:pPr algn="l" rtl="0">
              <a:defRPr sz="1000"/>
            </a:pPr>
            <a:r>
              <a:rPr lang="nb-NO" sz="1000" b="0" i="0" u="none" strike="noStrike" baseline="0">
                <a:solidFill>
                  <a:srgbClr val="000000"/>
                </a:solidFill>
                <a:latin typeface="Arial"/>
                <a:cs typeface="Arial"/>
              </a:rPr>
              <a:t>Byggets bredde</a:t>
            </a:r>
          </a:p>
        </xdr:txBody>
      </xdr:sp>
      <xdr:sp macro="" textlink="">
        <xdr:nvSpPr>
          <xdr:cNvPr id="4155" name="Text Box 59">
            <a:extLst>
              <a:ext uri="{FF2B5EF4-FFF2-40B4-BE49-F238E27FC236}">
                <a16:creationId xmlns:a16="http://schemas.microsoft.com/office/drawing/2014/main" id="{00000000-0008-0000-0000-00003B100000}"/>
              </a:ext>
            </a:extLst>
          </xdr:cNvPr>
          <xdr:cNvSpPr txBox="1">
            <a:spLocks noChangeArrowheads="1"/>
          </xdr:cNvSpPr>
        </xdr:nvSpPr>
        <xdr:spPr bwMode="auto">
          <a:xfrm>
            <a:off x="383" y="953"/>
            <a:ext cx="90" cy="20"/>
          </a:xfrm>
          <a:prstGeom prst="rect">
            <a:avLst/>
          </a:prstGeom>
          <a:noFill/>
          <a:ln w="9525">
            <a:noFill/>
            <a:miter lim="800000"/>
            <a:headEnd/>
            <a:tailEnd/>
          </a:ln>
        </xdr:spPr>
        <xdr:txBody>
          <a:bodyPr wrap="none" lIns="27432" tIns="27432" rIns="0" bIns="0" anchor="t" upright="1">
            <a:spAutoFit/>
          </a:bodyPr>
          <a:lstStyle/>
          <a:p>
            <a:pPr algn="l" rtl="0">
              <a:defRPr sz="1000"/>
            </a:pPr>
            <a:r>
              <a:rPr lang="nb-NO" sz="1000" b="0" i="0" u="none" strike="noStrike" baseline="0">
                <a:solidFill>
                  <a:srgbClr val="000000"/>
                </a:solidFill>
                <a:latin typeface="Arial"/>
                <a:cs typeface="Arial"/>
              </a:rPr>
              <a:t>Byggets høyde</a:t>
            </a:r>
          </a:p>
        </xdr:txBody>
      </xdr:sp>
      <xdr:sp macro="" textlink="">
        <xdr:nvSpPr>
          <xdr:cNvPr id="11724" name="Line 61">
            <a:extLst>
              <a:ext uri="{FF2B5EF4-FFF2-40B4-BE49-F238E27FC236}">
                <a16:creationId xmlns:a16="http://schemas.microsoft.com/office/drawing/2014/main" id="{00000000-0008-0000-0000-0000CC2D0000}"/>
              </a:ext>
            </a:extLst>
          </xdr:cNvPr>
          <xdr:cNvSpPr>
            <a:spLocks noChangeShapeType="1"/>
          </xdr:cNvSpPr>
        </xdr:nvSpPr>
        <xdr:spPr bwMode="auto">
          <a:xfrm>
            <a:off x="800" y="857"/>
            <a:ext cx="26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11725" name="Line 62">
            <a:extLst>
              <a:ext uri="{FF2B5EF4-FFF2-40B4-BE49-F238E27FC236}">
                <a16:creationId xmlns:a16="http://schemas.microsoft.com/office/drawing/2014/main" id="{00000000-0008-0000-0000-0000CD2D0000}"/>
              </a:ext>
            </a:extLst>
          </xdr:cNvPr>
          <xdr:cNvSpPr>
            <a:spLocks noChangeShapeType="1"/>
          </xdr:cNvSpPr>
        </xdr:nvSpPr>
        <xdr:spPr bwMode="auto">
          <a:xfrm flipV="1">
            <a:off x="800" y="839"/>
            <a:ext cx="0" cy="4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sp macro="" textlink="">
        <xdr:nvSpPr>
          <xdr:cNvPr id="11726" name="Line 63">
            <a:extLst>
              <a:ext uri="{FF2B5EF4-FFF2-40B4-BE49-F238E27FC236}">
                <a16:creationId xmlns:a16="http://schemas.microsoft.com/office/drawing/2014/main" id="{00000000-0008-0000-0000-0000CE2D0000}"/>
              </a:ext>
            </a:extLst>
          </xdr:cNvPr>
          <xdr:cNvSpPr>
            <a:spLocks noChangeShapeType="1"/>
          </xdr:cNvSpPr>
        </xdr:nvSpPr>
        <xdr:spPr bwMode="auto">
          <a:xfrm flipV="1">
            <a:off x="1059" y="839"/>
            <a:ext cx="0" cy="4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sp macro="" textlink="">
        <xdr:nvSpPr>
          <xdr:cNvPr id="11727" name="Line 64">
            <a:extLst>
              <a:ext uri="{FF2B5EF4-FFF2-40B4-BE49-F238E27FC236}">
                <a16:creationId xmlns:a16="http://schemas.microsoft.com/office/drawing/2014/main" id="{00000000-0008-0000-0000-0000CF2D0000}"/>
              </a:ext>
            </a:extLst>
          </xdr:cNvPr>
          <xdr:cNvSpPr>
            <a:spLocks noChangeShapeType="1"/>
          </xdr:cNvSpPr>
        </xdr:nvSpPr>
        <xdr:spPr bwMode="auto">
          <a:xfrm>
            <a:off x="1059" y="1019"/>
            <a:ext cx="4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sp macro="" textlink="">
        <xdr:nvSpPr>
          <xdr:cNvPr id="11728" name="Line 65">
            <a:extLst>
              <a:ext uri="{FF2B5EF4-FFF2-40B4-BE49-F238E27FC236}">
                <a16:creationId xmlns:a16="http://schemas.microsoft.com/office/drawing/2014/main" id="{00000000-0008-0000-0000-0000D02D0000}"/>
              </a:ext>
            </a:extLst>
          </xdr:cNvPr>
          <xdr:cNvSpPr>
            <a:spLocks noChangeShapeType="1"/>
          </xdr:cNvSpPr>
        </xdr:nvSpPr>
        <xdr:spPr bwMode="auto">
          <a:xfrm>
            <a:off x="1060" y="879"/>
            <a:ext cx="4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sp macro="" textlink="">
        <xdr:nvSpPr>
          <xdr:cNvPr id="11729" name="Line 66">
            <a:extLst>
              <a:ext uri="{FF2B5EF4-FFF2-40B4-BE49-F238E27FC236}">
                <a16:creationId xmlns:a16="http://schemas.microsoft.com/office/drawing/2014/main" id="{00000000-0008-0000-0000-0000D12D0000}"/>
              </a:ext>
            </a:extLst>
          </xdr:cNvPr>
          <xdr:cNvSpPr>
            <a:spLocks noChangeShapeType="1"/>
          </xdr:cNvSpPr>
        </xdr:nvSpPr>
        <xdr:spPr bwMode="auto">
          <a:xfrm flipV="1">
            <a:off x="1082" y="880"/>
            <a:ext cx="0" cy="138"/>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4163" name="Text Box 67">
            <a:extLst>
              <a:ext uri="{FF2B5EF4-FFF2-40B4-BE49-F238E27FC236}">
                <a16:creationId xmlns:a16="http://schemas.microsoft.com/office/drawing/2014/main" id="{00000000-0008-0000-0000-000043100000}"/>
              </a:ext>
            </a:extLst>
          </xdr:cNvPr>
          <xdr:cNvSpPr txBox="1">
            <a:spLocks noChangeArrowheads="1"/>
          </xdr:cNvSpPr>
        </xdr:nvSpPr>
        <xdr:spPr bwMode="auto">
          <a:xfrm>
            <a:off x="869" y="835"/>
            <a:ext cx="94" cy="20"/>
          </a:xfrm>
          <a:prstGeom prst="rect">
            <a:avLst/>
          </a:prstGeom>
          <a:noFill/>
          <a:ln w="9525">
            <a:noFill/>
            <a:miter lim="800000"/>
            <a:headEnd/>
            <a:tailEnd/>
          </a:ln>
        </xdr:spPr>
        <xdr:txBody>
          <a:bodyPr wrap="none" lIns="27432" tIns="27432" rIns="0" bIns="0" anchor="t" upright="1">
            <a:spAutoFit/>
          </a:bodyPr>
          <a:lstStyle/>
          <a:p>
            <a:pPr algn="l" rtl="0">
              <a:defRPr sz="1000"/>
            </a:pPr>
            <a:r>
              <a:rPr lang="nb-NO" sz="1000" b="0" i="0" u="none" strike="noStrike" baseline="0">
                <a:solidFill>
                  <a:srgbClr val="000000"/>
                </a:solidFill>
                <a:latin typeface="Arial"/>
                <a:cs typeface="Arial"/>
              </a:rPr>
              <a:t>Byggets bredde</a:t>
            </a:r>
          </a:p>
        </xdr:txBody>
      </xdr:sp>
      <xdr:sp macro="" textlink="">
        <xdr:nvSpPr>
          <xdr:cNvPr id="4164" name="Text Box 68">
            <a:extLst>
              <a:ext uri="{FF2B5EF4-FFF2-40B4-BE49-F238E27FC236}">
                <a16:creationId xmlns:a16="http://schemas.microsoft.com/office/drawing/2014/main" id="{00000000-0008-0000-0000-000044100000}"/>
              </a:ext>
            </a:extLst>
          </xdr:cNvPr>
          <xdr:cNvSpPr txBox="1">
            <a:spLocks noChangeArrowheads="1"/>
          </xdr:cNvSpPr>
        </xdr:nvSpPr>
        <xdr:spPr bwMode="auto">
          <a:xfrm>
            <a:off x="1095" y="949"/>
            <a:ext cx="90" cy="20"/>
          </a:xfrm>
          <a:prstGeom prst="rect">
            <a:avLst/>
          </a:prstGeom>
          <a:noFill/>
          <a:ln w="9525">
            <a:noFill/>
            <a:miter lim="800000"/>
            <a:headEnd/>
            <a:tailEnd/>
          </a:ln>
        </xdr:spPr>
        <xdr:txBody>
          <a:bodyPr wrap="none" lIns="27432" tIns="27432" rIns="0" bIns="0" anchor="t" upright="1">
            <a:spAutoFit/>
          </a:bodyPr>
          <a:lstStyle/>
          <a:p>
            <a:pPr algn="l" rtl="0">
              <a:defRPr sz="1000"/>
            </a:pPr>
            <a:r>
              <a:rPr lang="nb-NO" sz="1000" b="0" i="0" u="none" strike="noStrike" baseline="0">
                <a:solidFill>
                  <a:srgbClr val="000000"/>
                </a:solidFill>
                <a:latin typeface="Arial"/>
                <a:cs typeface="Arial"/>
              </a:rPr>
              <a:t>Byggets dybde</a:t>
            </a:r>
          </a:p>
        </xdr:txBody>
      </xdr:sp>
      <xdr:sp macro="" textlink="">
        <xdr:nvSpPr>
          <xdr:cNvPr id="11732" name="Line 70">
            <a:extLst>
              <a:ext uri="{FF2B5EF4-FFF2-40B4-BE49-F238E27FC236}">
                <a16:creationId xmlns:a16="http://schemas.microsoft.com/office/drawing/2014/main" id="{00000000-0008-0000-0000-0000D42D0000}"/>
              </a:ext>
            </a:extLst>
          </xdr:cNvPr>
          <xdr:cNvSpPr>
            <a:spLocks noChangeShapeType="1"/>
          </xdr:cNvSpPr>
        </xdr:nvSpPr>
        <xdr:spPr bwMode="auto">
          <a:xfrm flipV="1">
            <a:off x="96" y="881"/>
            <a:ext cx="259" cy="0"/>
          </a:xfrm>
          <a:prstGeom prst="line">
            <a:avLst/>
          </a:prstGeom>
          <a:noFill/>
          <a:ln w="25400">
            <a:solidFill>
              <a:srgbClr val="0000FF"/>
            </a:solidFill>
            <a:round/>
            <a:headEnd/>
            <a:tailEnd/>
          </a:ln>
          <a:extLst>
            <a:ext uri="{909E8E84-426E-40DD-AFC4-6F175D3DCCD1}">
              <a14:hiddenFill xmlns:a14="http://schemas.microsoft.com/office/drawing/2010/main">
                <a:noFill/>
              </a14:hiddenFill>
            </a:ext>
          </a:extLst>
        </xdr:spPr>
      </xdr:sp>
      <xdr:sp macro="" textlink="">
        <xdr:nvSpPr>
          <xdr:cNvPr id="11733" name="Line 71">
            <a:extLst>
              <a:ext uri="{FF2B5EF4-FFF2-40B4-BE49-F238E27FC236}">
                <a16:creationId xmlns:a16="http://schemas.microsoft.com/office/drawing/2014/main" id="{00000000-0008-0000-0000-0000D52D0000}"/>
              </a:ext>
            </a:extLst>
          </xdr:cNvPr>
          <xdr:cNvSpPr>
            <a:spLocks noChangeShapeType="1"/>
          </xdr:cNvSpPr>
        </xdr:nvSpPr>
        <xdr:spPr bwMode="auto">
          <a:xfrm>
            <a:off x="355" y="881"/>
            <a:ext cx="0" cy="32"/>
          </a:xfrm>
          <a:prstGeom prst="line">
            <a:avLst/>
          </a:prstGeom>
          <a:noFill/>
          <a:ln w="25400">
            <a:solidFill>
              <a:srgbClr val="0000FF"/>
            </a:solidFill>
            <a:round/>
            <a:headEnd/>
            <a:tailEnd/>
          </a:ln>
          <a:extLst>
            <a:ext uri="{909E8E84-426E-40DD-AFC4-6F175D3DCCD1}">
              <a14:hiddenFill xmlns:a14="http://schemas.microsoft.com/office/drawing/2010/main">
                <a:noFill/>
              </a14:hiddenFill>
            </a:ext>
          </a:extLst>
        </xdr:spPr>
      </xdr:sp>
      <xdr:sp macro="" textlink="">
        <xdr:nvSpPr>
          <xdr:cNvPr id="11734" name="Line 72">
            <a:extLst>
              <a:ext uri="{FF2B5EF4-FFF2-40B4-BE49-F238E27FC236}">
                <a16:creationId xmlns:a16="http://schemas.microsoft.com/office/drawing/2014/main" id="{00000000-0008-0000-0000-0000D62D0000}"/>
              </a:ext>
            </a:extLst>
          </xdr:cNvPr>
          <xdr:cNvSpPr>
            <a:spLocks noChangeShapeType="1"/>
          </xdr:cNvSpPr>
        </xdr:nvSpPr>
        <xdr:spPr bwMode="auto">
          <a:xfrm flipV="1">
            <a:off x="355" y="880"/>
            <a:ext cx="291" cy="1"/>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sp macro="" textlink="">
        <xdr:nvSpPr>
          <xdr:cNvPr id="11735" name="Line 73">
            <a:extLst>
              <a:ext uri="{FF2B5EF4-FFF2-40B4-BE49-F238E27FC236}">
                <a16:creationId xmlns:a16="http://schemas.microsoft.com/office/drawing/2014/main" id="{00000000-0008-0000-0000-0000D72D0000}"/>
              </a:ext>
            </a:extLst>
          </xdr:cNvPr>
          <xdr:cNvSpPr>
            <a:spLocks noChangeShapeType="1"/>
          </xdr:cNvSpPr>
        </xdr:nvSpPr>
        <xdr:spPr bwMode="auto">
          <a:xfrm flipV="1">
            <a:off x="378" y="881"/>
            <a:ext cx="0" cy="31"/>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4170" name="Text Box 74">
            <a:extLst>
              <a:ext uri="{FF2B5EF4-FFF2-40B4-BE49-F238E27FC236}">
                <a16:creationId xmlns:a16="http://schemas.microsoft.com/office/drawing/2014/main" id="{00000000-0008-0000-0000-00004A100000}"/>
              </a:ext>
            </a:extLst>
          </xdr:cNvPr>
          <xdr:cNvSpPr txBox="1">
            <a:spLocks noChangeArrowheads="1"/>
          </xdr:cNvSpPr>
        </xdr:nvSpPr>
        <xdr:spPr bwMode="auto">
          <a:xfrm>
            <a:off x="399" y="886"/>
            <a:ext cx="59" cy="20"/>
          </a:xfrm>
          <a:prstGeom prst="rect">
            <a:avLst/>
          </a:prstGeom>
          <a:noFill/>
          <a:ln w="9525">
            <a:noFill/>
            <a:miter lim="800000"/>
            <a:headEnd/>
            <a:tailEnd/>
          </a:ln>
        </xdr:spPr>
        <xdr:txBody>
          <a:bodyPr wrap="none" lIns="27432" tIns="27432" rIns="0" bIns="0" anchor="t" upright="1">
            <a:spAutoFit/>
          </a:bodyPr>
          <a:lstStyle/>
          <a:p>
            <a:pPr algn="l" rtl="0">
              <a:defRPr sz="1000"/>
            </a:pPr>
            <a:r>
              <a:rPr lang="nb-NO" sz="1000" b="0" i="0" u="none" strike="noStrike" baseline="0">
                <a:solidFill>
                  <a:srgbClr val="000000"/>
                </a:solidFill>
                <a:latin typeface="Arial"/>
                <a:cs typeface="Arial"/>
              </a:rPr>
              <a:t>Takhøyde</a:t>
            </a:r>
          </a:p>
        </xdr:txBody>
      </xdr:sp>
      <xdr:sp macro="" textlink="">
        <xdr:nvSpPr>
          <xdr:cNvPr id="11737" name="Line 266">
            <a:extLst>
              <a:ext uri="{FF2B5EF4-FFF2-40B4-BE49-F238E27FC236}">
                <a16:creationId xmlns:a16="http://schemas.microsoft.com/office/drawing/2014/main" id="{00000000-0008-0000-0000-0000D92D0000}"/>
              </a:ext>
            </a:extLst>
          </xdr:cNvPr>
          <xdr:cNvSpPr>
            <a:spLocks noChangeShapeType="1"/>
          </xdr:cNvSpPr>
        </xdr:nvSpPr>
        <xdr:spPr bwMode="auto">
          <a:xfrm>
            <a:off x="801" y="925"/>
            <a:ext cx="23" cy="0"/>
          </a:xfrm>
          <a:prstGeom prst="line">
            <a:avLst/>
          </a:prstGeom>
          <a:noFill/>
          <a:ln w="12700">
            <a:solidFill>
              <a:srgbClr val="FF0000"/>
            </a:solidFill>
            <a:prstDash val="dash"/>
            <a:round/>
            <a:headEnd/>
            <a:tailEnd/>
          </a:ln>
          <a:extLst>
            <a:ext uri="{909E8E84-426E-40DD-AFC4-6F175D3DCCD1}">
              <a14:hiddenFill xmlns:a14="http://schemas.microsoft.com/office/drawing/2010/main">
                <a:noFill/>
              </a14:hiddenFill>
            </a:ext>
          </a:extLst>
        </xdr:spPr>
      </xdr:sp>
      <xdr:sp macro="" textlink="">
        <xdr:nvSpPr>
          <xdr:cNvPr id="11738" name="Line 267">
            <a:extLst>
              <a:ext uri="{FF2B5EF4-FFF2-40B4-BE49-F238E27FC236}">
                <a16:creationId xmlns:a16="http://schemas.microsoft.com/office/drawing/2014/main" id="{00000000-0008-0000-0000-0000DA2D0000}"/>
              </a:ext>
            </a:extLst>
          </xdr:cNvPr>
          <xdr:cNvSpPr>
            <a:spLocks noChangeShapeType="1"/>
          </xdr:cNvSpPr>
        </xdr:nvSpPr>
        <xdr:spPr bwMode="auto">
          <a:xfrm>
            <a:off x="1035" y="925"/>
            <a:ext cx="23" cy="0"/>
          </a:xfrm>
          <a:prstGeom prst="line">
            <a:avLst/>
          </a:prstGeom>
          <a:noFill/>
          <a:ln w="12700">
            <a:solidFill>
              <a:srgbClr val="FF0000"/>
            </a:solidFill>
            <a:prstDash val="dash"/>
            <a:round/>
            <a:headEnd/>
            <a:tailEnd/>
          </a:ln>
          <a:extLst>
            <a:ext uri="{909E8E84-426E-40DD-AFC4-6F175D3DCCD1}">
              <a14:hiddenFill xmlns:a14="http://schemas.microsoft.com/office/drawing/2010/main">
                <a:noFill/>
              </a14:hiddenFill>
            </a:ext>
          </a:extLst>
        </xdr:spPr>
      </xdr:sp>
      <xdr:sp macro="" textlink="">
        <xdr:nvSpPr>
          <xdr:cNvPr id="11739" name="Line 268">
            <a:extLst>
              <a:ext uri="{FF2B5EF4-FFF2-40B4-BE49-F238E27FC236}">
                <a16:creationId xmlns:a16="http://schemas.microsoft.com/office/drawing/2014/main" id="{00000000-0008-0000-0000-0000DB2D0000}"/>
              </a:ext>
            </a:extLst>
          </xdr:cNvPr>
          <xdr:cNvSpPr>
            <a:spLocks noChangeShapeType="1"/>
          </xdr:cNvSpPr>
        </xdr:nvSpPr>
        <xdr:spPr bwMode="auto">
          <a:xfrm>
            <a:off x="801" y="973"/>
            <a:ext cx="23" cy="0"/>
          </a:xfrm>
          <a:prstGeom prst="line">
            <a:avLst/>
          </a:prstGeom>
          <a:noFill/>
          <a:ln w="12700">
            <a:solidFill>
              <a:srgbClr val="FF0000"/>
            </a:solidFill>
            <a:prstDash val="dash"/>
            <a:round/>
            <a:headEnd/>
            <a:tailEnd/>
          </a:ln>
          <a:extLst>
            <a:ext uri="{909E8E84-426E-40DD-AFC4-6F175D3DCCD1}">
              <a14:hiddenFill xmlns:a14="http://schemas.microsoft.com/office/drawing/2010/main">
                <a:noFill/>
              </a14:hiddenFill>
            </a:ext>
          </a:extLst>
        </xdr:spPr>
      </xdr:sp>
      <xdr:sp macro="" textlink="">
        <xdr:nvSpPr>
          <xdr:cNvPr id="11740" name="Line 269">
            <a:extLst>
              <a:ext uri="{FF2B5EF4-FFF2-40B4-BE49-F238E27FC236}">
                <a16:creationId xmlns:a16="http://schemas.microsoft.com/office/drawing/2014/main" id="{00000000-0008-0000-0000-0000DC2D0000}"/>
              </a:ext>
            </a:extLst>
          </xdr:cNvPr>
          <xdr:cNvSpPr>
            <a:spLocks noChangeShapeType="1"/>
          </xdr:cNvSpPr>
        </xdr:nvSpPr>
        <xdr:spPr bwMode="auto">
          <a:xfrm>
            <a:off x="1035" y="973"/>
            <a:ext cx="23" cy="0"/>
          </a:xfrm>
          <a:prstGeom prst="line">
            <a:avLst/>
          </a:prstGeom>
          <a:noFill/>
          <a:ln w="12700">
            <a:solidFill>
              <a:srgbClr val="FF0000"/>
            </a:solidFill>
            <a:prstDash val="dash"/>
            <a:round/>
            <a:headEnd/>
            <a:tailEnd/>
          </a:ln>
          <a:extLst>
            <a:ext uri="{909E8E84-426E-40DD-AFC4-6F175D3DCCD1}">
              <a14:hiddenFill xmlns:a14="http://schemas.microsoft.com/office/drawing/2010/main">
                <a:noFill/>
              </a14:hiddenFill>
            </a:ext>
          </a:extLst>
        </xdr:spPr>
      </xdr:sp>
      <xdr:sp macro="" textlink="">
        <xdr:nvSpPr>
          <xdr:cNvPr id="11741" name="Line 270">
            <a:extLst>
              <a:ext uri="{FF2B5EF4-FFF2-40B4-BE49-F238E27FC236}">
                <a16:creationId xmlns:a16="http://schemas.microsoft.com/office/drawing/2014/main" id="{00000000-0008-0000-0000-0000DD2D0000}"/>
              </a:ext>
            </a:extLst>
          </xdr:cNvPr>
          <xdr:cNvSpPr>
            <a:spLocks noChangeShapeType="1"/>
          </xdr:cNvSpPr>
        </xdr:nvSpPr>
        <xdr:spPr bwMode="auto">
          <a:xfrm rot="-5400000">
            <a:off x="833" y="892"/>
            <a:ext cx="23" cy="0"/>
          </a:xfrm>
          <a:prstGeom prst="line">
            <a:avLst/>
          </a:prstGeom>
          <a:noFill/>
          <a:ln w="12700">
            <a:solidFill>
              <a:srgbClr val="FF0000"/>
            </a:solidFill>
            <a:prstDash val="dash"/>
            <a:round/>
            <a:headEnd/>
            <a:tailEnd/>
          </a:ln>
          <a:extLst>
            <a:ext uri="{909E8E84-426E-40DD-AFC4-6F175D3DCCD1}">
              <a14:hiddenFill xmlns:a14="http://schemas.microsoft.com/office/drawing/2010/main">
                <a:noFill/>
              </a14:hiddenFill>
            </a:ext>
          </a:extLst>
        </xdr:spPr>
      </xdr:sp>
      <xdr:sp macro="" textlink="">
        <xdr:nvSpPr>
          <xdr:cNvPr id="11742" name="Line 271">
            <a:extLst>
              <a:ext uri="{FF2B5EF4-FFF2-40B4-BE49-F238E27FC236}">
                <a16:creationId xmlns:a16="http://schemas.microsoft.com/office/drawing/2014/main" id="{00000000-0008-0000-0000-0000DE2D0000}"/>
              </a:ext>
            </a:extLst>
          </xdr:cNvPr>
          <xdr:cNvSpPr>
            <a:spLocks noChangeShapeType="1"/>
          </xdr:cNvSpPr>
        </xdr:nvSpPr>
        <xdr:spPr bwMode="auto">
          <a:xfrm rot="-5400000">
            <a:off x="1001" y="892"/>
            <a:ext cx="23" cy="0"/>
          </a:xfrm>
          <a:prstGeom prst="line">
            <a:avLst/>
          </a:prstGeom>
          <a:noFill/>
          <a:ln w="12700">
            <a:solidFill>
              <a:srgbClr val="FF0000"/>
            </a:solidFill>
            <a:prstDash val="dash"/>
            <a:round/>
            <a:headEnd/>
            <a:tailEnd/>
          </a:ln>
          <a:extLst>
            <a:ext uri="{909E8E84-426E-40DD-AFC4-6F175D3DCCD1}">
              <a14:hiddenFill xmlns:a14="http://schemas.microsoft.com/office/drawing/2010/main">
                <a:noFill/>
              </a14:hiddenFill>
            </a:ext>
          </a:extLst>
        </xdr:spPr>
      </xdr:sp>
      <xdr:sp macro="" textlink="">
        <xdr:nvSpPr>
          <xdr:cNvPr id="11743" name="Line 272">
            <a:extLst>
              <a:ext uri="{FF2B5EF4-FFF2-40B4-BE49-F238E27FC236}">
                <a16:creationId xmlns:a16="http://schemas.microsoft.com/office/drawing/2014/main" id="{00000000-0008-0000-0000-0000DF2D0000}"/>
              </a:ext>
            </a:extLst>
          </xdr:cNvPr>
          <xdr:cNvSpPr>
            <a:spLocks noChangeShapeType="1"/>
          </xdr:cNvSpPr>
        </xdr:nvSpPr>
        <xdr:spPr bwMode="auto">
          <a:xfrm rot="-5400000">
            <a:off x="833" y="1006"/>
            <a:ext cx="23" cy="0"/>
          </a:xfrm>
          <a:prstGeom prst="line">
            <a:avLst/>
          </a:prstGeom>
          <a:noFill/>
          <a:ln w="12700">
            <a:solidFill>
              <a:srgbClr val="FF0000"/>
            </a:solidFill>
            <a:prstDash val="dash"/>
            <a:round/>
            <a:headEnd/>
            <a:tailEnd/>
          </a:ln>
          <a:extLst>
            <a:ext uri="{909E8E84-426E-40DD-AFC4-6F175D3DCCD1}">
              <a14:hiddenFill xmlns:a14="http://schemas.microsoft.com/office/drawing/2010/main">
                <a:noFill/>
              </a14:hiddenFill>
            </a:ext>
          </a:extLst>
        </xdr:spPr>
      </xdr:sp>
      <xdr:sp macro="" textlink="">
        <xdr:nvSpPr>
          <xdr:cNvPr id="11744" name="Line 273">
            <a:extLst>
              <a:ext uri="{FF2B5EF4-FFF2-40B4-BE49-F238E27FC236}">
                <a16:creationId xmlns:a16="http://schemas.microsoft.com/office/drawing/2014/main" id="{00000000-0008-0000-0000-0000E02D0000}"/>
              </a:ext>
            </a:extLst>
          </xdr:cNvPr>
          <xdr:cNvSpPr>
            <a:spLocks noChangeShapeType="1"/>
          </xdr:cNvSpPr>
        </xdr:nvSpPr>
        <xdr:spPr bwMode="auto">
          <a:xfrm rot="-5400000">
            <a:off x="1001" y="1006"/>
            <a:ext cx="23" cy="0"/>
          </a:xfrm>
          <a:prstGeom prst="line">
            <a:avLst/>
          </a:prstGeom>
          <a:noFill/>
          <a:ln w="12700">
            <a:solidFill>
              <a:srgbClr val="FF0000"/>
            </a:solidFill>
            <a:prstDash val="dash"/>
            <a:round/>
            <a:headEnd/>
            <a:tailEnd/>
          </a:ln>
          <a:extLst>
            <a:ext uri="{909E8E84-426E-40DD-AFC4-6F175D3DCCD1}">
              <a14:hiddenFill xmlns:a14="http://schemas.microsoft.com/office/drawing/2010/main">
                <a:noFill/>
              </a14:hiddenFill>
            </a:ext>
          </a:extLst>
        </xdr:spPr>
      </xdr:sp>
      <xdr:sp macro="" textlink="">
        <xdr:nvSpPr>
          <xdr:cNvPr id="11745" name="Line 288">
            <a:extLst>
              <a:ext uri="{FF2B5EF4-FFF2-40B4-BE49-F238E27FC236}">
                <a16:creationId xmlns:a16="http://schemas.microsoft.com/office/drawing/2014/main" id="{00000000-0008-0000-0000-0000E12D0000}"/>
              </a:ext>
            </a:extLst>
          </xdr:cNvPr>
          <xdr:cNvSpPr>
            <a:spLocks noChangeShapeType="1"/>
          </xdr:cNvSpPr>
        </xdr:nvSpPr>
        <xdr:spPr bwMode="auto">
          <a:xfrm>
            <a:off x="96" y="880"/>
            <a:ext cx="0" cy="32"/>
          </a:xfrm>
          <a:prstGeom prst="line">
            <a:avLst/>
          </a:prstGeom>
          <a:noFill/>
          <a:ln w="25400">
            <a:solidFill>
              <a:srgbClr val="0000FF"/>
            </a:solidFill>
            <a:round/>
            <a:headEnd/>
            <a:tailEnd/>
          </a:ln>
          <a:extLst>
            <a:ext uri="{909E8E84-426E-40DD-AFC4-6F175D3DCCD1}">
              <a14:hiddenFill xmlns:a14="http://schemas.microsoft.com/office/drawing/2010/main">
                <a:noFill/>
              </a14:hiddenFill>
            </a:ext>
          </a:extLst>
        </xdr:spPr>
      </xdr:sp>
      <xdr:sp macro="" textlink="">
        <xdr:nvSpPr>
          <xdr:cNvPr id="11746" name="Rectangle 289">
            <a:extLst>
              <a:ext uri="{FF2B5EF4-FFF2-40B4-BE49-F238E27FC236}">
                <a16:creationId xmlns:a16="http://schemas.microsoft.com/office/drawing/2014/main" id="{00000000-0008-0000-0000-0000E22D0000}"/>
              </a:ext>
            </a:extLst>
          </xdr:cNvPr>
          <xdr:cNvSpPr>
            <a:spLocks noChangeArrowheads="1"/>
          </xdr:cNvSpPr>
        </xdr:nvSpPr>
        <xdr:spPr bwMode="auto">
          <a:xfrm>
            <a:off x="509" y="914"/>
            <a:ext cx="138" cy="104"/>
          </a:xfrm>
          <a:prstGeom prst="rect">
            <a:avLst/>
          </a:prstGeom>
          <a:solidFill>
            <a:srgbClr val="FFFFFF"/>
          </a:solidFill>
          <a:ln w="25400">
            <a:solidFill>
              <a:srgbClr val="0000FF"/>
            </a:solidFill>
            <a:miter lim="800000"/>
            <a:headEnd/>
            <a:tailEnd/>
          </a:ln>
        </xdr:spPr>
      </xdr:sp>
      <xdr:sp macro="" textlink="">
        <xdr:nvSpPr>
          <xdr:cNvPr id="11747" name="Line 290">
            <a:extLst>
              <a:ext uri="{FF2B5EF4-FFF2-40B4-BE49-F238E27FC236}">
                <a16:creationId xmlns:a16="http://schemas.microsoft.com/office/drawing/2014/main" id="{00000000-0008-0000-0000-0000E32D0000}"/>
              </a:ext>
            </a:extLst>
          </xdr:cNvPr>
          <xdr:cNvSpPr>
            <a:spLocks noChangeShapeType="1"/>
          </xdr:cNvSpPr>
        </xdr:nvSpPr>
        <xdr:spPr bwMode="auto">
          <a:xfrm>
            <a:off x="508" y="856"/>
            <a:ext cx="138"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11748" name="Line 291">
            <a:extLst>
              <a:ext uri="{FF2B5EF4-FFF2-40B4-BE49-F238E27FC236}">
                <a16:creationId xmlns:a16="http://schemas.microsoft.com/office/drawing/2014/main" id="{00000000-0008-0000-0000-0000E42D0000}"/>
              </a:ext>
            </a:extLst>
          </xdr:cNvPr>
          <xdr:cNvSpPr>
            <a:spLocks noChangeShapeType="1"/>
          </xdr:cNvSpPr>
        </xdr:nvSpPr>
        <xdr:spPr bwMode="auto">
          <a:xfrm flipH="1" flipV="1">
            <a:off x="507" y="838"/>
            <a:ext cx="1" cy="76"/>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sp macro="" textlink="">
        <xdr:nvSpPr>
          <xdr:cNvPr id="11749" name="Line 292">
            <a:extLst>
              <a:ext uri="{FF2B5EF4-FFF2-40B4-BE49-F238E27FC236}">
                <a16:creationId xmlns:a16="http://schemas.microsoft.com/office/drawing/2014/main" id="{00000000-0008-0000-0000-0000E52D0000}"/>
              </a:ext>
            </a:extLst>
          </xdr:cNvPr>
          <xdr:cNvSpPr>
            <a:spLocks noChangeShapeType="1"/>
          </xdr:cNvSpPr>
        </xdr:nvSpPr>
        <xdr:spPr bwMode="auto">
          <a:xfrm flipV="1">
            <a:off x="647" y="842"/>
            <a:ext cx="0" cy="66"/>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sp macro="" textlink="">
        <xdr:nvSpPr>
          <xdr:cNvPr id="4389" name="Text Box 293">
            <a:extLst>
              <a:ext uri="{FF2B5EF4-FFF2-40B4-BE49-F238E27FC236}">
                <a16:creationId xmlns:a16="http://schemas.microsoft.com/office/drawing/2014/main" id="{00000000-0008-0000-0000-000025110000}"/>
              </a:ext>
            </a:extLst>
          </xdr:cNvPr>
          <xdr:cNvSpPr txBox="1">
            <a:spLocks noChangeArrowheads="1"/>
          </xdr:cNvSpPr>
        </xdr:nvSpPr>
        <xdr:spPr bwMode="auto">
          <a:xfrm>
            <a:off x="532" y="831"/>
            <a:ext cx="100" cy="21"/>
          </a:xfrm>
          <a:prstGeom prst="rect">
            <a:avLst/>
          </a:prstGeom>
          <a:noFill/>
          <a:ln w="9525">
            <a:noFill/>
            <a:miter lim="800000"/>
            <a:headEnd/>
            <a:tailEnd/>
          </a:ln>
        </xdr:spPr>
        <xdr:txBody>
          <a:bodyPr vertOverflow="clip" wrap="square" lIns="36576" tIns="27432" rIns="0" bIns="0" anchor="t" upright="1"/>
          <a:lstStyle/>
          <a:p>
            <a:pPr algn="l" rtl="0">
              <a:defRPr sz="1000"/>
            </a:pPr>
            <a:r>
              <a:rPr lang="nb-NO" sz="1000" b="0" i="0" u="none" strike="noStrike" baseline="0">
                <a:solidFill>
                  <a:srgbClr val="000000"/>
                </a:solidFill>
                <a:latin typeface="Arial"/>
                <a:cs typeface="Arial"/>
              </a:rPr>
              <a:t>Byggets dybde</a:t>
            </a:r>
          </a:p>
          <a:p>
            <a:pPr algn="l" rtl="0">
              <a:defRPr sz="1000"/>
            </a:pPr>
            <a:endParaRPr lang="nb-NO" sz="1000" b="0" i="0" u="none" strike="noStrike" baseline="0">
              <a:solidFill>
                <a:srgbClr val="000000"/>
              </a:solidFill>
              <a:latin typeface="Arial"/>
              <a:cs typeface="Arial"/>
            </a:endParaRPr>
          </a:p>
        </xdr:txBody>
      </xdr:sp>
      <xdr:sp macro="" textlink="">
        <xdr:nvSpPr>
          <xdr:cNvPr id="11751" name="Line 294">
            <a:extLst>
              <a:ext uri="{FF2B5EF4-FFF2-40B4-BE49-F238E27FC236}">
                <a16:creationId xmlns:a16="http://schemas.microsoft.com/office/drawing/2014/main" id="{00000000-0008-0000-0000-0000E72D0000}"/>
              </a:ext>
            </a:extLst>
          </xdr:cNvPr>
          <xdr:cNvSpPr>
            <a:spLocks noChangeShapeType="1"/>
          </xdr:cNvSpPr>
        </xdr:nvSpPr>
        <xdr:spPr bwMode="auto">
          <a:xfrm flipV="1">
            <a:off x="509" y="881"/>
            <a:ext cx="139" cy="33"/>
          </a:xfrm>
          <a:prstGeom prst="line">
            <a:avLst/>
          </a:prstGeom>
          <a:noFill/>
          <a:ln w="25400">
            <a:solidFill>
              <a:srgbClr val="0000FF"/>
            </a:solidFill>
            <a:round/>
            <a:headEnd/>
            <a:tailEnd/>
          </a:ln>
          <a:extLst>
            <a:ext uri="{909E8E84-426E-40DD-AFC4-6F175D3DCCD1}">
              <a14:hiddenFill xmlns:a14="http://schemas.microsoft.com/office/drawing/2010/main">
                <a:noFill/>
              </a14:hiddenFill>
            </a:ext>
          </a:extLst>
        </xdr:spPr>
      </xdr:sp>
      <xdr:sp macro="" textlink="">
        <xdr:nvSpPr>
          <xdr:cNvPr id="11752" name="Line 295">
            <a:extLst>
              <a:ext uri="{FF2B5EF4-FFF2-40B4-BE49-F238E27FC236}">
                <a16:creationId xmlns:a16="http://schemas.microsoft.com/office/drawing/2014/main" id="{00000000-0008-0000-0000-0000E82D0000}"/>
              </a:ext>
            </a:extLst>
          </xdr:cNvPr>
          <xdr:cNvSpPr>
            <a:spLocks noChangeShapeType="1"/>
          </xdr:cNvSpPr>
        </xdr:nvSpPr>
        <xdr:spPr bwMode="auto">
          <a:xfrm>
            <a:off x="647" y="880"/>
            <a:ext cx="0" cy="35"/>
          </a:xfrm>
          <a:prstGeom prst="line">
            <a:avLst/>
          </a:prstGeom>
          <a:noFill/>
          <a:ln w="25400">
            <a:solidFill>
              <a:srgbClr val="0000FF"/>
            </a:solidFill>
            <a:round/>
            <a:headEnd/>
            <a:tailEnd/>
          </a:ln>
          <a:extLst>
            <a:ext uri="{909E8E84-426E-40DD-AFC4-6F175D3DCCD1}">
              <a14:hiddenFill xmlns:a14="http://schemas.microsoft.com/office/drawing/2010/main">
                <a:noFill/>
              </a14:hiddenFill>
            </a:ext>
          </a:extLst>
        </xdr:spPr>
      </xdr:sp>
      <xdr:sp macro="" textlink="">
        <xdr:nvSpPr>
          <xdr:cNvPr id="11753" name="Line 296">
            <a:extLst>
              <a:ext uri="{FF2B5EF4-FFF2-40B4-BE49-F238E27FC236}">
                <a16:creationId xmlns:a16="http://schemas.microsoft.com/office/drawing/2014/main" id="{00000000-0008-0000-0000-0000E92D0000}"/>
              </a:ext>
            </a:extLst>
          </xdr:cNvPr>
          <xdr:cNvSpPr>
            <a:spLocks noChangeShapeType="1"/>
          </xdr:cNvSpPr>
        </xdr:nvSpPr>
        <xdr:spPr bwMode="auto">
          <a:xfrm flipV="1">
            <a:off x="487" y="912"/>
            <a:ext cx="0" cy="105"/>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11754" name="Line 297">
            <a:extLst>
              <a:ext uri="{FF2B5EF4-FFF2-40B4-BE49-F238E27FC236}">
                <a16:creationId xmlns:a16="http://schemas.microsoft.com/office/drawing/2014/main" id="{00000000-0008-0000-0000-0000EA2D0000}"/>
              </a:ext>
            </a:extLst>
          </xdr:cNvPr>
          <xdr:cNvSpPr>
            <a:spLocks noChangeShapeType="1"/>
          </xdr:cNvSpPr>
        </xdr:nvSpPr>
        <xdr:spPr bwMode="auto">
          <a:xfrm flipV="1">
            <a:off x="487" y="881"/>
            <a:ext cx="0" cy="31"/>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grpSp>
    <xdr:clientData/>
  </xdr:twoCellAnchor>
  <xdr:twoCellAnchor>
    <xdr:from>
      <xdr:col>4</xdr:col>
      <xdr:colOff>238125</xdr:colOff>
      <xdr:row>39</xdr:row>
      <xdr:rowOff>180975</xdr:rowOff>
    </xdr:from>
    <xdr:to>
      <xdr:col>7</xdr:col>
      <xdr:colOff>95250</xdr:colOff>
      <xdr:row>46</xdr:row>
      <xdr:rowOff>114300</xdr:rowOff>
    </xdr:to>
    <xdr:sp macro="" textlink="">
      <xdr:nvSpPr>
        <xdr:cNvPr id="11605" name="Rectangle 39">
          <a:extLst>
            <a:ext uri="{FF2B5EF4-FFF2-40B4-BE49-F238E27FC236}">
              <a16:creationId xmlns:a16="http://schemas.microsoft.com/office/drawing/2014/main" id="{00000000-0008-0000-0000-0000552D0000}"/>
            </a:ext>
          </a:extLst>
        </xdr:cNvPr>
        <xdr:cNvSpPr>
          <a:spLocks noChangeArrowheads="1"/>
        </xdr:cNvSpPr>
      </xdr:nvSpPr>
      <xdr:spPr bwMode="auto">
        <a:xfrm>
          <a:off x="4867275" y="6534150"/>
          <a:ext cx="2495550" cy="1333500"/>
        </a:xfrm>
        <a:prstGeom prst="rect">
          <a:avLst/>
        </a:prstGeom>
        <a:solidFill>
          <a:srgbClr val="FFFFFF"/>
        </a:solidFill>
        <a:ln w="25400">
          <a:solidFill>
            <a:srgbClr val="0000FF"/>
          </a:solidFill>
          <a:miter lim="800000"/>
          <a:headEnd/>
          <a:tailEnd/>
        </a:ln>
      </xdr:spPr>
    </xdr:sp>
    <xdr:clientData/>
  </xdr:twoCellAnchor>
  <xdr:twoCellAnchor>
    <xdr:from>
      <xdr:col>4</xdr:col>
      <xdr:colOff>457200</xdr:colOff>
      <xdr:row>41</xdr:row>
      <xdr:rowOff>9525</xdr:rowOff>
    </xdr:from>
    <xdr:to>
      <xdr:col>6</xdr:col>
      <xdr:colOff>990600</xdr:colOff>
      <xdr:row>45</xdr:row>
      <xdr:rowOff>66675</xdr:rowOff>
    </xdr:to>
    <xdr:sp macro="" textlink="">
      <xdr:nvSpPr>
        <xdr:cNvPr id="11606" name="Rectangle 274">
          <a:extLst>
            <a:ext uri="{FF2B5EF4-FFF2-40B4-BE49-F238E27FC236}">
              <a16:creationId xmlns:a16="http://schemas.microsoft.com/office/drawing/2014/main" id="{00000000-0008-0000-0000-0000562D0000}"/>
            </a:ext>
          </a:extLst>
        </xdr:cNvPr>
        <xdr:cNvSpPr>
          <a:spLocks noChangeArrowheads="1"/>
        </xdr:cNvSpPr>
      </xdr:nvSpPr>
      <xdr:spPr bwMode="auto">
        <a:xfrm>
          <a:off x="5086350" y="6762750"/>
          <a:ext cx="2076450" cy="857250"/>
        </a:xfrm>
        <a:prstGeom prst="rect">
          <a:avLst/>
        </a:prstGeom>
        <a:solidFill>
          <a:srgbClr val="FFFFFF">
            <a:alpha val="0"/>
          </a:srgbClr>
        </a:solidFill>
        <a:ln w="12700">
          <a:solidFill>
            <a:srgbClr val="FF0000"/>
          </a:solidFill>
          <a:prstDash val="dash"/>
          <a:miter lim="800000"/>
          <a:headEnd/>
          <a:tailEnd/>
        </a:ln>
      </xdr:spPr>
    </xdr:sp>
    <xdr:clientData/>
  </xdr:twoCellAnchor>
  <xdr:twoCellAnchor>
    <xdr:from>
      <xdr:col>1</xdr:col>
      <xdr:colOff>161925</xdr:colOff>
      <xdr:row>40</xdr:row>
      <xdr:rowOff>161925</xdr:rowOff>
    </xdr:from>
    <xdr:to>
      <xdr:col>2</xdr:col>
      <xdr:colOff>619125</xdr:colOff>
      <xdr:row>45</xdr:row>
      <xdr:rowOff>161925</xdr:rowOff>
    </xdr:to>
    <xdr:sp macro="" textlink="">
      <xdr:nvSpPr>
        <xdr:cNvPr id="11607" name="Rectangle 22">
          <a:extLst>
            <a:ext uri="{FF2B5EF4-FFF2-40B4-BE49-F238E27FC236}">
              <a16:creationId xmlns:a16="http://schemas.microsoft.com/office/drawing/2014/main" id="{00000000-0008-0000-0000-0000572D0000}"/>
            </a:ext>
          </a:extLst>
        </xdr:cNvPr>
        <xdr:cNvSpPr>
          <a:spLocks noChangeArrowheads="1"/>
        </xdr:cNvSpPr>
      </xdr:nvSpPr>
      <xdr:spPr bwMode="auto">
        <a:xfrm>
          <a:off x="923925" y="6715125"/>
          <a:ext cx="2466975" cy="1000125"/>
        </a:xfrm>
        <a:prstGeom prst="rect">
          <a:avLst/>
        </a:prstGeom>
        <a:solidFill>
          <a:srgbClr val="FFFFFF"/>
        </a:solidFill>
        <a:ln w="25400">
          <a:solidFill>
            <a:srgbClr val="0000FF"/>
          </a:solidFill>
          <a:miter lim="800000"/>
          <a:headEnd/>
          <a:tailEnd/>
        </a:ln>
      </xdr:spPr>
    </xdr:sp>
    <xdr:clientData/>
  </xdr:twoCellAnchor>
  <xdr:twoCellAnchor>
    <xdr:from>
      <xdr:col>1</xdr:col>
      <xdr:colOff>161925</xdr:colOff>
      <xdr:row>39</xdr:row>
      <xdr:rowOff>152400</xdr:rowOff>
    </xdr:from>
    <xdr:to>
      <xdr:col>2</xdr:col>
      <xdr:colOff>628650</xdr:colOff>
      <xdr:row>39</xdr:row>
      <xdr:rowOff>152400</xdr:rowOff>
    </xdr:to>
    <xdr:sp macro="" textlink="">
      <xdr:nvSpPr>
        <xdr:cNvPr id="11608" name="Line 23">
          <a:extLst>
            <a:ext uri="{FF2B5EF4-FFF2-40B4-BE49-F238E27FC236}">
              <a16:creationId xmlns:a16="http://schemas.microsoft.com/office/drawing/2014/main" id="{00000000-0008-0000-0000-0000582D0000}"/>
            </a:ext>
          </a:extLst>
        </xdr:cNvPr>
        <xdr:cNvSpPr>
          <a:spLocks noChangeShapeType="1"/>
        </xdr:cNvSpPr>
      </xdr:nvSpPr>
      <xdr:spPr bwMode="auto">
        <a:xfrm>
          <a:off x="923925" y="6505575"/>
          <a:ext cx="247650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161925</xdr:colOff>
      <xdr:row>38</xdr:row>
      <xdr:rowOff>180975</xdr:rowOff>
    </xdr:from>
    <xdr:to>
      <xdr:col>1</xdr:col>
      <xdr:colOff>161925</xdr:colOff>
      <xdr:row>41</xdr:row>
      <xdr:rowOff>9525</xdr:rowOff>
    </xdr:to>
    <xdr:sp macro="" textlink="">
      <xdr:nvSpPr>
        <xdr:cNvPr id="11609" name="Line 25">
          <a:extLst>
            <a:ext uri="{FF2B5EF4-FFF2-40B4-BE49-F238E27FC236}">
              <a16:creationId xmlns:a16="http://schemas.microsoft.com/office/drawing/2014/main" id="{00000000-0008-0000-0000-0000592D0000}"/>
            </a:ext>
          </a:extLst>
        </xdr:cNvPr>
        <xdr:cNvSpPr>
          <a:spLocks noChangeShapeType="1"/>
        </xdr:cNvSpPr>
      </xdr:nvSpPr>
      <xdr:spPr bwMode="auto">
        <a:xfrm flipV="1">
          <a:off x="923925" y="6334125"/>
          <a:ext cx="0" cy="4286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619125</xdr:colOff>
      <xdr:row>38</xdr:row>
      <xdr:rowOff>180975</xdr:rowOff>
    </xdr:from>
    <xdr:to>
      <xdr:col>2</xdr:col>
      <xdr:colOff>619125</xdr:colOff>
      <xdr:row>41</xdr:row>
      <xdr:rowOff>9525</xdr:rowOff>
    </xdr:to>
    <xdr:sp macro="" textlink="">
      <xdr:nvSpPr>
        <xdr:cNvPr id="11610" name="Line 26">
          <a:extLst>
            <a:ext uri="{FF2B5EF4-FFF2-40B4-BE49-F238E27FC236}">
              <a16:creationId xmlns:a16="http://schemas.microsoft.com/office/drawing/2014/main" id="{00000000-0008-0000-0000-00005A2D0000}"/>
            </a:ext>
          </a:extLst>
        </xdr:cNvPr>
        <xdr:cNvSpPr>
          <a:spLocks noChangeShapeType="1"/>
        </xdr:cNvSpPr>
      </xdr:nvSpPr>
      <xdr:spPr bwMode="auto">
        <a:xfrm flipV="1">
          <a:off x="3390900" y="6334125"/>
          <a:ext cx="0" cy="4286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619125</xdr:colOff>
      <xdr:row>45</xdr:row>
      <xdr:rowOff>161925</xdr:rowOff>
    </xdr:from>
    <xdr:to>
      <xdr:col>2</xdr:col>
      <xdr:colOff>1047750</xdr:colOff>
      <xdr:row>45</xdr:row>
      <xdr:rowOff>161925</xdr:rowOff>
    </xdr:to>
    <xdr:sp macro="" textlink="">
      <xdr:nvSpPr>
        <xdr:cNvPr id="11611" name="Line 27">
          <a:extLst>
            <a:ext uri="{FF2B5EF4-FFF2-40B4-BE49-F238E27FC236}">
              <a16:creationId xmlns:a16="http://schemas.microsoft.com/office/drawing/2014/main" id="{00000000-0008-0000-0000-00005B2D0000}"/>
            </a:ext>
          </a:extLst>
        </xdr:cNvPr>
        <xdr:cNvSpPr>
          <a:spLocks noChangeShapeType="1"/>
        </xdr:cNvSpPr>
      </xdr:nvSpPr>
      <xdr:spPr bwMode="auto">
        <a:xfrm>
          <a:off x="3390900" y="7715250"/>
          <a:ext cx="4286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628650</xdr:colOff>
      <xdr:row>40</xdr:row>
      <xdr:rowOff>161925</xdr:rowOff>
    </xdr:from>
    <xdr:to>
      <xdr:col>2</xdr:col>
      <xdr:colOff>1057275</xdr:colOff>
      <xdr:row>40</xdr:row>
      <xdr:rowOff>161925</xdr:rowOff>
    </xdr:to>
    <xdr:sp macro="" textlink="">
      <xdr:nvSpPr>
        <xdr:cNvPr id="11612" name="Line 28">
          <a:extLst>
            <a:ext uri="{FF2B5EF4-FFF2-40B4-BE49-F238E27FC236}">
              <a16:creationId xmlns:a16="http://schemas.microsoft.com/office/drawing/2014/main" id="{00000000-0008-0000-0000-00005C2D0000}"/>
            </a:ext>
          </a:extLst>
        </xdr:cNvPr>
        <xdr:cNvSpPr>
          <a:spLocks noChangeShapeType="1"/>
        </xdr:cNvSpPr>
      </xdr:nvSpPr>
      <xdr:spPr bwMode="auto">
        <a:xfrm>
          <a:off x="3400425" y="6715125"/>
          <a:ext cx="4286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838200</xdr:colOff>
      <xdr:row>40</xdr:row>
      <xdr:rowOff>161925</xdr:rowOff>
    </xdr:from>
    <xdr:to>
      <xdr:col>2</xdr:col>
      <xdr:colOff>838200</xdr:colOff>
      <xdr:row>45</xdr:row>
      <xdr:rowOff>161925</xdr:rowOff>
    </xdr:to>
    <xdr:sp macro="" textlink="">
      <xdr:nvSpPr>
        <xdr:cNvPr id="11613" name="Line 29">
          <a:extLst>
            <a:ext uri="{FF2B5EF4-FFF2-40B4-BE49-F238E27FC236}">
              <a16:creationId xmlns:a16="http://schemas.microsoft.com/office/drawing/2014/main" id="{00000000-0008-0000-0000-00005D2D0000}"/>
            </a:ext>
          </a:extLst>
        </xdr:cNvPr>
        <xdr:cNvSpPr>
          <a:spLocks noChangeShapeType="1"/>
        </xdr:cNvSpPr>
      </xdr:nvSpPr>
      <xdr:spPr bwMode="auto">
        <a:xfrm flipV="1">
          <a:off x="3609975" y="6715125"/>
          <a:ext cx="0" cy="1000125"/>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oneCellAnchor>
    <xdr:from>
      <xdr:col>1</xdr:col>
      <xdr:colOff>992505</xdr:colOff>
      <xdr:row>38</xdr:row>
      <xdr:rowOff>114300</xdr:rowOff>
    </xdr:from>
    <xdr:ext cx="925894" cy="175176"/>
    <xdr:sp macro="" textlink="">
      <xdr:nvSpPr>
        <xdr:cNvPr id="4126" name="Text Box 30">
          <a:extLst>
            <a:ext uri="{FF2B5EF4-FFF2-40B4-BE49-F238E27FC236}">
              <a16:creationId xmlns:a16="http://schemas.microsoft.com/office/drawing/2014/main" id="{00000000-0008-0000-0000-00001E100000}"/>
            </a:ext>
          </a:extLst>
        </xdr:cNvPr>
        <xdr:cNvSpPr txBox="1">
          <a:spLocks noChangeArrowheads="1"/>
        </xdr:cNvSpPr>
      </xdr:nvSpPr>
      <xdr:spPr bwMode="auto">
        <a:xfrm>
          <a:off x="1754505" y="6267450"/>
          <a:ext cx="925894" cy="175176"/>
        </a:xfrm>
        <a:prstGeom prst="rect">
          <a:avLst/>
        </a:prstGeom>
        <a:noFill/>
        <a:ln w="9525">
          <a:noFill/>
          <a:miter lim="800000"/>
          <a:headEnd/>
          <a:tailEnd/>
        </a:ln>
      </xdr:spPr>
      <xdr:txBody>
        <a:bodyPr wrap="none" lIns="27432" tIns="27432" rIns="0" bIns="0" anchor="t" upright="1">
          <a:spAutoFit/>
        </a:bodyPr>
        <a:lstStyle/>
        <a:p>
          <a:pPr algn="l" rtl="0">
            <a:defRPr sz="1000"/>
          </a:pPr>
          <a:r>
            <a:rPr lang="nb-NO" sz="1000" b="0" i="0" u="none" strike="noStrike" baseline="0">
              <a:solidFill>
                <a:srgbClr val="000000"/>
              </a:solidFill>
              <a:latin typeface="Arial"/>
              <a:cs typeface="Arial"/>
            </a:rPr>
            <a:t>Byggets bredde</a:t>
          </a:r>
        </a:p>
      </xdr:txBody>
    </xdr:sp>
    <xdr:clientData/>
  </xdr:oneCellAnchor>
  <xdr:oneCellAnchor>
    <xdr:from>
      <xdr:col>2</xdr:col>
      <xdr:colOff>954405</xdr:colOff>
      <xdr:row>42</xdr:row>
      <xdr:rowOff>114300</xdr:rowOff>
    </xdr:from>
    <xdr:ext cx="883062" cy="175176"/>
    <xdr:sp macro="" textlink="">
      <xdr:nvSpPr>
        <xdr:cNvPr id="4132" name="Text Box 36">
          <a:extLst>
            <a:ext uri="{FF2B5EF4-FFF2-40B4-BE49-F238E27FC236}">
              <a16:creationId xmlns:a16="http://schemas.microsoft.com/office/drawing/2014/main" id="{00000000-0008-0000-0000-000024100000}"/>
            </a:ext>
          </a:extLst>
        </xdr:cNvPr>
        <xdr:cNvSpPr txBox="1">
          <a:spLocks noChangeArrowheads="1"/>
        </xdr:cNvSpPr>
      </xdr:nvSpPr>
      <xdr:spPr bwMode="auto">
        <a:xfrm>
          <a:off x="3726180" y="7067550"/>
          <a:ext cx="883062" cy="175176"/>
        </a:xfrm>
        <a:prstGeom prst="rect">
          <a:avLst/>
        </a:prstGeom>
        <a:noFill/>
        <a:ln w="9525">
          <a:noFill/>
          <a:miter lim="800000"/>
          <a:headEnd/>
          <a:tailEnd/>
        </a:ln>
      </xdr:spPr>
      <xdr:txBody>
        <a:bodyPr wrap="none" lIns="27432" tIns="27432" rIns="0" bIns="0" anchor="t" upright="1">
          <a:spAutoFit/>
        </a:bodyPr>
        <a:lstStyle/>
        <a:p>
          <a:pPr algn="l" rtl="0">
            <a:defRPr sz="1000"/>
          </a:pPr>
          <a:r>
            <a:rPr lang="nb-NO" sz="1000" b="0" i="0" u="none" strike="noStrike" baseline="0">
              <a:solidFill>
                <a:srgbClr val="000000"/>
              </a:solidFill>
              <a:latin typeface="Arial"/>
              <a:cs typeface="Arial"/>
            </a:rPr>
            <a:t>Byggets høyde</a:t>
          </a:r>
        </a:p>
      </xdr:txBody>
    </xdr:sp>
    <xdr:clientData/>
  </xdr:oneCellAnchor>
  <xdr:twoCellAnchor>
    <xdr:from>
      <xdr:col>4</xdr:col>
      <xdr:colOff>238125</xdr:colOff>
      <xdr:row>38</xdr:row>
      <xdr:rowOff>171450</xdr:rowOff>
    </xdr:from>
    <xdr:to>
      <xdr:col>7</xdr:col>
      <xdr:colOff>76200</xdr:colOff>
      <xdr:row>38</xdr:row>
      <xdr:rowOff>171450</xdr:rowOff>
    </xdr:to>
    <xdr:sp macro="" textlink="">
      <xdr:nvSpPr>
        <xdr:cNvPr id="11616" name="Line 40">
          <a:extLst>
            <a:ext uri="{FF2B5EF4-FFF2-40B4-BE49-F238E27FC236}">
              <a16:creationId xmlns:a16="http://schemas.microsoft.com/office/drawing/2014/main" id="{00000000-0008-0000-0000-0000602D0000}"/>
            </a:ext>
          </a:extLst>
        </xdr:cNvPr>
        <xdr:cNvSpPr>
          <a:spLocks noChangeShapeType="1"/>
        </xdr:cNvSpPr>
      </xdr:nvSpPr>
      <xdr:spPr bwMode="auto">
        <a:xfrm>
          <a:off x="4867275" y="6324600"/>
          <a:ext cx="247650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238125</xdr:colOff>
      <xdr:row>38</xdr:row>
      <xdr:rowOff>0</xdr:rowOff>
    </xdr:from>
    <xdr:to>
      <xdr:col>4</xdr:col>
      <xdr:colOff>238125</xdr:colOff>
      <xdr:row>40</xdr:row>
      <xdr:rowOff>28575</xdr:rowOff>
    </xdr:to>
    <xdr:sp macro="" textlink="">
      <xdr:nvSpPr>
        <xdr:cNvPr id="11617" name="Line 41">
          <a:extLst>
            <a:ext uri="{FF2B5EF4-FFF2-40B4-BE49-F238E27FC236}">
              <a16:creationId xmlns:a16="http://schemas.microsoft.com/office/drawing/2014/main" id="{00000000-0008-0000-0000-0000612D0000}"/>
            </a:ext>
          </a:extLst>
        </xdr:cNvPr>
        <xdr:cNvSpPr>
          <a:spLocks noChangeShapeType="1"/>
        </xdr:cNvSpPr>
      </xdr:nvSpPr>
      <xdr:spPr bwMode="auto">
        <a:xfrm flipV="1">
          <a:off x="4867275" y="6153150"/>
          <a:ext cx="0" cy="4286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85725</xdr:colOff>
      <xdr:row>37</xdr:row>
      <xdr:rowOff>114300</xdr:rowOff>
    </xdr:from>
    <xdr:to>
      <xdr:col>7</xdr:col>
      <xdr:colOff>85725</xdr:colOff>
      <xdr:row>39</xdr:row>
      <xdr:rowOff>180975</xdr:rowOff>
    </xdr:to>
    <xdr:sp macro="" textlink="">
      <xdr:nvSpPr>
        <xdr:cNvPr id="11618" name="Line 42">
          <a:extLst>
            <a:ext uri="{FF2B5EF4-FFF2-40B4-BE49-F238E27FC236}">
              <a16:creationId xmlns:a16="http://schemas.microsoft.com/office/drawing/2014/main" id="{00000000-0008-0000-0000-0000622D0000}"/>
            </a:ext>
          </a:extLst>
        </xdr:cNvPr>
        <xdr:cNvSpPr>
          <a:spLocks noChangeShapeType="1"/>
        </xdr:cNvSpPr>
      </xdr:nvSpPr>
      <xdr:spPr bwMode="auto">
        <a:xfrm flipV="1">
          <a:off x="7353300" y="6105525"/>
          <a:ext cx="0" cy="4286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oneCellAnchor>
    <xdr:from>
      <xdr:col>5</xdr:col>
      <xdr:colOff>302895</xdr:colOff>
      <xdr:row>37</xdr:row>
      <xdr:rowOff>76200</xdr:rowOff>
    </xdr:from>
    <xdr:ext cx="925894" cy="175176"/>
    <xdr:sp macro="" textlink="">
      <xdr:nvSpPr>
        <xdr:cNvPr id="4142" name="Text Box 46">
          <a:extLst>
            <a:ext uri="{FF2B5EF4-FFF2-40B4-BE49-F238E27FC236}">
              <a16:creationId xmlns:a16="http://schemas.microsoft.com/office/drawing/2014/main" id="{00000000-0008-0000-0000-00002E100000}"/>
            </a:ext>
          </a:extLst>
        </xdr:cNvPr>
        <xdr:cNvSpPr txBox="1">
          <a:spLocks noChangeArrowheads="1"/>
        </xdr:cNvSpPr>
      </xdr:nvSpPr>
      <xdr:spPr bwMode="auto">
        <a:xfrm>
          <a:off x="5703570" y="6067425"/>
          <a:ext cx="925894" cy="175176"/>
        </a:xfrm>
        <a:prstGeom prst="rect">
          <a:avLst/>
        </a:prstGeom>
        <a:noFill/>
        <a:ln w="9525">
          <a:noFill/>
          <a:miter lim="800000"/>
          <a:headEnd/>
          <a:tailEnd/>
        </a:ln>
      </xdr:spPr>
      <xdr:txBody>
        <a:bodyPr wrap="none" lIns="27432" tIns="27432" rIns="0" bIns="0" anchor="t" upright="1">
          <a:spAutoFit/>
        </a:bodyPr>
        <a:lstStyle/>
        <a:p>
          <a:pPr algn="l" rtl="0">
            <a:defRPr sz="1000"/>
          </a:pPr>
          <a:r>
            <a:rPr lang="nb-NO" sz="1000" b="0" i="0" u="none" strike="noStrike" baseline="0">
              <a:solidFill>
                <a:srgbClr val="000000"/>
              </a:solidFill>
              <a:latin typeface="Arial"/>
              <a:cs typeface="Arial"/>
            </a:rPr>
            <a:t>Byggets bredde</a:t>
          </a:r>
        </a:p>
      </xdr:txBody>
    </xdr:sp>
    <xdr:clientData/>
  </xdr:oneCellAnchor>
  <xdr:twoCellAnchor>
    <xdr:from>
      <xdr:col>7</xdr:col>
      <xdr:colOff>483870</xdr:colOff>
      <xdr:row>42</xdr:row>
      <xdr:rowOff>129540</xdr:rowOff>
    </xdr:from>
    <xdr:to>
      <xdr:col>8</xdr:col>
      <xdr:colOff>628650</xdr:colOff>
      <xdr:row>43</xdr:row>
      <xdr:rowOff>152400</xdr:rowOff>
    </xdr:to>
    <xdr:sp macro="" textlink="">
      <xdr:nvSpPr>
        <xdr:cNvPr id="4143" name="Text Box 47">
          <a:extLst>
            <a:ext uri="{FF2B5EF4-FFF2-40B4-BE49-F238E27FC236}">
              <a16:creationId xmlns:a16="http://schemas.microsoft.com/office/drawing/2014/main" id="{00000000-0008-0000-0000-00002F100000}"/>
            </a:ext>
          </a:extLst>
        </xdr:cNvPr>
        <xdr:cNvSpPr txBox="1">
          <a:spLocks noChangeArrowheads="1"/>
        </xdr:cNvSpPr>
      </xdr:nvSpPr>
      <xdr:spPr bwMode="auto">
        <a:xfrm>
          <a:off x="7978140" y="7246620"/>
          <a:ext cx="929640" cy="220980"/>
        </a:xfrm>
        <a:prstGeom prst="rect">
          <a:avLst/>
        </a:prstGeom>
        <a:noFill/>
        <a:ln w="9525">
          <a:noFill/>
          <a:miter lim="800000"/>
          <a:headEnd/>
          <a:tailEnd/>
        </a:ln>
      </xdr:spPr>
      <xdr:txBody>
        <a:bodyPr vertOverflow="clip" wrap="square" lIns="36576" tIns="27432" rIns="0" bIns="0" anchor="t" upright="1"/>
        <a:lstStyle/>
        <a:p>
          <a:pPr algn="l" rtl="0">
            <a:defRPr sz="1000"/>
          </a:pPr>
          <a:r>
            <a:rPr lang="nb-NO" sz="1000" b="0" i="0" u="none" strike="noStrike" baseline="0">
              <a:solidFill>
                <a:srgbClr val="000000"/>
              </a:solidFill>
              <a:latin typeface="Arial"/>
              <a:cs typeface="Arial"/>
            </a:rPr>
            <a:t>Byggets dybde </a:t>
          </a:r>
        </a:p>
      </xdr:txBody>
    </xdr:sp>
    <xdr:clientData/>
  </xdr:twoCellAnchor>
  <xdr:twoCellAnchor>
    <xdr:from>
      <xdr:col>4</xdr:col>
      <xdr:colOff>247650</xdr:colOff>
      <xdr:row>42</xdr:row>
      <xdr:rowOff>19050</xdr:rowOff>
    </xdr:from>
    <xdr:to>
      <xdr:col>4</xdr:col>
      <xdr:colOff>466725</xdr:colOff>
      <xdr:row>42</xdr:row>
      <xdr:rowOff>19050</xdr:rowOff>
    </xdr:to>
    <xdr:sp macro="" textlink="">
      <xdr:nvSpPr>
        <xdr:cNvPr id="11621" name="Line 275">
          <a:extLst>
            <a:ext uri="{FF2B5EF4-FFF2-40B4-BE49-F238E27FC236}">
              <a16:creationId xmlns:a16="http://schemas.microsoft.com/office/drawing/2014/main" id="{00000000-0008-0000-0000-0000652D0000}"/>
            </a:ext>
          </a:extLst>
        </xdr:cNvPr>
        <xdr:cNvSpPr>
          <a:spLocks noChangeShapeType="1"/>
        </xdr:cNvSpPr>
      </xdr:nvSpPr>
      <xdr:spPr bwMode="auto">
        <a:xfrm>
          <a:off x="4876800" y="6972300"/>
          <a:ext cx="219075" cy="0"/>
        </a:xfrm>
        <a:prstGeom prst="line">
          <a:avLst/>
        </a:prstGeom>
        <a:noFill/>
        <a:ln w="12700">
          <a:solidFill>
            <a:srgbClr val="FF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247650</xdr:colOff>
      <xdr:row>44</xdr:row>
      <xdr:rowOff>76200</xdr:rowOff>
    </xdr:from>
    <xdr:to>
      <xdr:col>4</xdr:col>
      <xdr:colOff>466725</xdr:colOff>
      <xdr:row>44</xdr:row>
      <xdr:rowOff>76200</xdr:rowOff>
    </xdr:to>
    <xdr:sp macro="" textlink="">
      <xdr:nvSpPr>
        <xdr:cNvPr id="11622" name="Line 277">
          <a:extLst>
            <a:ext uri="{FF2B5EF4-FFF2-40B4-BE49-F238E27FC236}">
              <a16:creationId xmlns:a16="http://schemas.microsoft.com/office/drawing/2014/main" id="{00000000-0008-0000-0000-0000662D0000}"/>
            </a:ext>
          </a:extLst>
        </xdr:cNvPr>
        <xdr:cNvSpPr>
          <a:spLocks noChangeShapeType="1"/>
        </xdr:cNvSpPr>
      </xdr:nvSpPr>
      <xdr:spPr bwMode="auto">
        <a:xfrm>
          <a:off x="4876800" y="7429500"/>
          <a:ext cx="219075" cy="0"/>
        </a:xfrm>
        <a:prstGeom prst="line">
          <a:avLst/>
        </a:prstGeom>
        <a:noFill/>
        <a:ln w="12700">
          <a:solidFill>
            <a:srgbClr val="FF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666750</xdr:colOff>
      <xdr:row>39</xdr:row>
      <xdr:rowOff>190500</xdr:rowOff>
    </xdr:from>
    <xdr:to>
      <xdr:col>4</xdr:col>
      <xdr:colOff>666750</xdr:colOff>
      <xdr:row>41</xdr:row>
      <xdr:rowOff>9525</xdr:rowOff>
    </xdr:to>
    <xdr:sp macro="" textlink="">
      <xdr:nvSpPr>
        <xdr:cNvPr id="11623" name="Line 279">
          <a:extLst>
            <a:ext uri="{FF2B5EF4-FFF2-40B4-BE49-F238E27FC236}">
              <a16:creationId xmlns:a16="http://schemas.microsoft.com/office/drawing/2014/main" id="{00000000-0008-0000-0000-0000672D0000}"/>
            </a:ext>
          </a:extLst>
        </xdr:cNvPr>
        <xdr:cNvSpPr>
          <a:spLocks noChangeShapeType="1"/>
        </xdr:cNvSpPr>
      </xdr:nvSpPr>
      <xdr:spPr bwMode="auto">
        <a:xfrm rot="-5400000">
          <a:off x="5186362" y="6653213"/>
          <a:ext cx="219075" cy="0"/>
        </a:xfrm>
        <a:prstGeom prst="line">
          <a:avLst/>
        </a:prstGeom>
        <a:noFill/>
        <a:ln w="12700">
          <a:solidFill>
            <a:srgbClr val="FF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723900</xdr:colOff>
      <xdr:row>39</xdr:row>
      <xdr:rowOff>190500</xdr:rowOff>
    </xdr:from>
    <xdr:to>
      <xdr:col>6</xdr:col>
      <xdr:colOff>723900</xdr:colOff>
      <xdr:row>41</xdr:row>
      <xdr:rowOff>9525</xdr:rowOff>
    </xdr:to>
    <xdr:sp macro="" textlink="">
      <xdr:nvSpPr>
        <xdr:cNvPr id="11624" name="Line 280">
          <a:extLst>
            <a:ext uri="{FF2B5EF4-FFF2-40B4-BE49-F238E27FC236}">
              <a16:creationId xmlns:a16="http://schemas.microsoft.com/office/drawing/2014/main" id="{00000000-0008-0000-0000-0000682D0000}"/>
            </a:ext>
          </a:extLst>
        </xdr:cNvPr>
        <xdr:cNvSpPr>
          <a:spLocks noChangeShapeType="1"/>
        </xdr:cNvSpPr>
      </xdr:nvSpPr>
      <xdr:spPr bwMode="auto">
        <a:xfrm rot="-5400000">
          <a:off x="6786562" y="6653213"/>
          <a:ext cx="219075" cy="0"/>
        </a:xfrm>
        <a:prstGeom prst="line">
          <a:avLst/>
        </a:prstGeom>
        <a:noFill/>
        <a:ln w="12700">
          <a:solidFill>
            <a:srgbClr val="FF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666750</xdr:colOff>
      <xdr:row>45</xdr:row>
      <xdr:rowOff>76200</xdr:rowOff>
    </xdr:from>
    <xdr:to>
      <xdr:col>4</xdr:col>
      <xdr:colOff>666750</xdr:colOff>
      <xdr:row>46</xdr:row>
      <xdr:rowOff>95250</xdr:rowOff>
    </xdr:to>
    <xdr:sp macro="" textlink="">
      <xdr:nvSpPr>
        <xdr:cNvPr id="11625" name="Line 281">
          <a:extLst>
            <a:ext uri="{FF2B5EF4-FFF2-40B4-BE49-F238E27FC236}">
              <a16:creationId xmlns:a16="http://schemas.microsoft.com/office/drawing/2014/main" id="{00000000-0008-0000-0000-0000692D0000}"/>
            </a:ext>
          </a:extLst>
        </xdr:cNvPr>
        <xdr:cNvSpPr>
          <a:spLocks noChangeShapeType="1"/>
        </xdr:cNvSpPr>
      </xdr:nvSpPr>
      <xdr:spPr bwMode="auto">
        <a:xfrm rot="-5400000">
          <a:off x="5186362" y="7739063"/>
          <a:ext cx="219075" cy="0"/>
        </a:xfrm>
        <a:prstGeom prst="line">
          <a:avLst/>
        </a:prstGeom>
        <a:noFill/>
        <a:ln w="12700">
          <a:solidFill>
            <a:srgbClr val="FF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723900</xdr:colOff>
      <xdr:row>45</xdr:row>
      <xdr:rowOff>76200</xdr:rowOff>
    </xdr:from>
    <xdr:to>
      <xdr:col>6</xdr:col>
      <xdr:colOff>723900</xdr:colOff>
      <xdr:row>46</xdr:row>
      <xdr:rowOff>95250</xdr:rowOff>
    </xdr:to>
    <xdr:sp macro="" textlink="">
      <xdr:nvSpPr>
        <xdr:cNvPr id="11626" name="Line 282">
          <a:extLst>
            <a:ext uri="{FF2B5EF4-FFF2-40B4-BE49-F238E27FC236}">
              <a16:creationId xmlns:a16="http://schemas.microsoft.com/office/drawing/2014/main" id="{00000000-0008-0000-0000-00006A2D0000}"/>
            </a:ext>
          </a:extLst>
        </xdr:cNvPr>
        <xdr:cNvSpPr>
          <a:spLocks noChangeShapeType="1"/>
        </xdr:cNvSpPr>
      </xdr:nvSpPr>
      <xdr:spPr bwMode="auto">
        <a:xfrm rot="-5400000">
          <a:off x="6786562" y="7739063"/>
          <a:ext cx="219075" cy="0"/>
        </a:xfrm>
        <a:prstGeom prst="line">
          <a:avLst/>
        </a:prstGeom>
        <a:noFill/>
        <a:ln w="12700">
          <a:solidFill>
            <a:srgbClr val="FF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142875</xdr:colOff>
      <xdr:row>46</xdr:row>
      <xdr:rowOff>114300</xdr:rowOff>
    </xdr:from>
    <xdr:to>
      <xdr:col>7</xdr:col>
      <xdr:colOff>523875</xdr:colOff>
      <xdr:row>46</xdr:row>
      <xdr:rowOff>123825</xdr:rowOff>
    </xdr:to>
    <xdr:sp macro="" textlink="">
      <xdr:nvSpPr>
        <xdr:cNvPr id="11627" name="Line 365">
          <a:extLst>
            <a:ext uri="{FF2B5EF4-FFF2-40B4-BE49-F238E27FC236}">
              <a16:creationId xmlns:a16="http://schemas.microsoft.com/office/drawing/2014/main" id="{00000000-0008-0000-0000-00006B2D0000}"/>
            </a:ext>
          </a:extLst>
        </xdr:cNvPr>
        <xdr:cNvSpPr>
          <a:spLocks noChangeShapeType="1"/>
        </xdr:cNvSpPr>
      </xdr:nvSpPr>
      <xdr:spPr bwMode="auto">
        <a:xfrm>
          <a:off x="7410450" y="7867650"/>
          <a:ext cx="381000" cy="95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152400</xdr:colOff>
      <xdr:row>39</xdr:row>
      <xdr:rowOff>180975</xdr:rowOff>
    </xdr:from>
    <xdr:to>
      <xdr:col>7</xdr:col>
      <xdr:colOff>533400</xdr:colOff>
      <xdr:row>39</xdr:row>
      <xdr:rowOff>190500</xdr:rowOff>
    </xdr:to>
    <xdr:sp macro="" textlink="">
      <xdr:nvSpPr>
        <xdr:cNvPr id="11628" name="Line 366">
          <a:extLst>
            <a:ext uri="{FF2B5EF4-FFF2-40B4-BE49-F238E27FC236}">
              <a16:creationId xmlns:a16="http://schemas.microsoft.com/office/drawing/2014/main" id="{00000000-0008-0000-0000-00006C2D0000}"/>
            </a:ext>
          </a:extLst>
        </xdr:cNvPr>
        <xdr:cNvSpPr>
          <a:spLocks noChangeShapeType="1"/>
        </xdr:cNvSpPr>
      </xdr:nvSpPr>
      <xdr:spPr bwMode="auto">
        <a:xfrm>
          <a:off x="7419975" y="6534150"/>
          <a:ext cx="381000" cy="95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361950</xdr:colOff>
      <xdr:row>39</xdr:row>
      <xdr:rowOff>190500</xdr:rowOff>
    </xdr:from>
    <xdr:to>
      <xdr:col>7</xdr:col>
      <xdr:colOff>361950</xdr:colOff>
      <xdr:row>46</xdr:row>
      <xdr:rowOff>104775</xdr:rowOff>
    </xdr:to>
    <xdr:sp macro="" textlink="">
      <xdr:nvSpPr>
        <xdr:cNvPr id="11629" name="Line 367">
          <a:extLst>
            <a:ext uri="{FF2B5EF4-FFF2-40B4-BE49-F238E27FC236}">
              <a16:creationId xmlns:a16="http://schemas.microsoft.com/office/drawing/2014/main" id="{00000000-0008-0000-0000-00006D2D0000}"/>
            </a:ext>
          </a:extLst>
        </xdr:cNvPr>
        <xdr:cNvSpPr>
          <a:spLocks noChangeShapeType="1"/>
        </xdr:cNvSpPr>
      </xdr:nvSpPr>
      <xdr:spPr bwMode="auto">
        <a:xfrm flipV="1">
          <a:off x="7629525" y="6543675"/>
          <a:ext cx="0" cy="13144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981075</xdr:colOff>
      <xdr:row>42</xdr:row>
      <xdr:rowOff>28575</xdr:rowOff>
    </xdr:from>
    <xdr:to>
      <xdr:col>7</xdr:col>
      <xdr:colOff>104775</xdr:colOff>
      <xdr:row>42</xdr:row>
      <xdr:rowOff>28575</xdr:rowOff>
    </xdr:to>
    <xdr:sp macro="" textlink="">
      <xdr:nvSpPr>
        <xdr:cNvPr id="11630" name="Line 369">
          <a:extLst>
            <a:ext uri="{FF2B5EF4-FFF2-40B4-BE49-F238E27FC236}">
              <a16:creationId xmlns:a16="http://schemas.microsoft.com/office/drawing/2014/main" id="{00000000-0008-0000-0000-00006E2D0000}"/>
            </a:ext>
          </a:extLst>
        </xdr:cNvPr>
        <xdr:cNvSpPr>
          <a:spLocks noChangeShapeType="1"/>
        </xdr:cNvSpPr>
      </xdr:nvSpPr>
      <xdr:spPr bwMode="auto">
        <a:xfrm>
          <a:off x="7153275" y="6981825"/>
          <a:ext cx="219075" cy="0"/>
        </a:xfrm>
        <a:prstGeom prst="line">
          <a:avLst/>
        </a:prstGeom>
        <a:noFill/>
        <a:ln w="12700">
          <a:solidFill>
            <a:srgbClr val="FF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1000125</xdr:colOff>
      <xdr:row>44</xdr:row>
      <xdr:rowOff>85725</xdr:rowOff>
    </xdr:from>
    <xdr:to>
      <xdr:col>7</xdr:col>
      <xdr:colOff>104775</xdr:colOff>
      <xdr:row>44</xdr:row>
      <xdr:rowOff>85725</xdr:rowOff>
    </xdr:to>
    <xdr:sp macro="" textlink="">
      <xdr:nvSpPr>
        <xdr:cNvPr id="11631" name="Line 370">
          <a:extLst>
            <a:ext uri="{FF2B5EF4-FFF2-40B4-BE49-F238E27FC236}">
              <a16:creationId xmlns:a16="http://schemas.microsoft.com/office/drawing/2014/main" id="{00000000-0008-0000-0000-00006F2D0000}"/>
            </a:ext>
          </a:extLst>
        </xdr:cNvPr>
        <xdr:cNvSpPr>
          <a:spLocks noChangeShapeType="1"/>
        </xdr:cNvSpPr>
      </xdr:nvSpPr>
      <xdr:spPr bwMode="auto">
        <a:xfrm>
          <a:off x="7172325" y="7439025"/>
          <a:ext cx="200025" cy="0"/>
        </a:xfrm>
        <a:prstGeom prst="line">
          <a:avLst/>
        </a:prstGeom>
        <a:noFill/>
        <a:ln w="12700">
          <a:solidFill>
            <a:srgbClr val="FF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600075</xdr:colOff>
      <xdr:row>92</xdr:row>
      <xdr:rowOff>28575</xdr:rowOff>
    </xdr:from>
    <xdr:to>
      <xdr:col>4</xdr:col>
      <xdr:colOff>209550</xdr:colOff>
      <xdr:row>92</xdr:row>
      <xdr:rowOff>28575</xdr:rowOff>
    </xdr:to>
    <xdr:sp macro="" textlink="">
      <xdr:nvSpPr>
        <xdr:cNvPr id="11632" name="Line 108">
          <a:extLst>
            <a:ext uri="{FF2B5EF4-FFF2-40B4-BE49-F238E27FC236}">
              <a16:creationId xmlns:a16="http://schemas.microsoft.com/office/drawing/2014/main" id="{00000000-0008-0000-0000-0000702D0000}"/>
            </a:ext>
          </a:extLst>
        </xdr:cNvPr>
        <xdr:cNvSpPr>
          <a:spLocks noChangeShapeType="1"/>
        </xdr:cNvSpPr>
      </xdr:nvSpPr>
      <xdr:spPr bwMode="auto">
        <a:xfrm>
          <a:off x="3371850" y="15268575"/>
          <a:ext cx="14668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133350</xdr:colOff>
      <xdr:row>80</xdr:row>
      <xdr:rowOff>152400</xdr:rowOff>
    </xdr:from>
    <xdr:to>
      <xdr:col>12</xdr:col>
      <xdr:colOff>257175</xdr:colOff>
      <xdr:row>92</xdr:row>
      <xdr:rowOff>47625</xdr:rowOff>
    </xdr:to>
    <xdr:grpSp>
      <xdr:nvGrpSpPr>
        <xdr:cNvPr id="11633" name="Group 380">
          <a:extLst>
            <a:ext uri="{FF2B5EF4-FFF2-40B4-BE49-F238E27FC236}">
              <a16:creationId xmlns:a16="http://schemas.microsoft.com/office/drawing/2014/main" id="{00000000-0008-0000-0000-0000712D0000}"/>
            </a:ext>
          </a:extLst>
        </xdr:cNvPr>
        <xdr:cNvGrpSpPr>
          <a:grpSpLocks/>
        </xdr:cNvGrpSpPr>
      </xdr:nvGrpSpPr>
      <xdr:grpSpPr bwMode="auto">
        <a:xfrm>
          <a:off x="895350" y="13449300"/>
          <a:ext cx="10439400" cy="1838325"/>
          <a:chOff x="94" y="1344"/>
          <a:chExt cx="1096" cy="193"/>
        </a:xfrm>
      </xdr:grpSpPr>
      <xdr:sp macro="" textlink="">
        <xdr:nvSpPr>
          <xdr:cNvPr id="11679" name="Rectangle 216">
            <a:extLst>
              <a:ext uri="{FF2B5EF4-FFF2-40B4-BE49-F238E27FC236}">
                <a16:creationId xmlns:a16="http://schemas.microsoft.com/office/drawing/2014/main" id="{00000000-0008-0000-0000-00009F2D0000}"/>
              </a:ext>
            </a:extLst>
          </xdr:cNvPr>
          <xdr:cNvSpPr>
            <a:spLocks noChangeArrowheads="1"/>
          </xdr:cNvSpPr>
        </xdr:nvSpPr>
        <xdr:spPr bwMode="auto">
          <a:xfrm>
            <a:off x="802" y="1397"/>
            <a:ext cx="259" cy="140"/>
          </a:xfrm>
          <a:prstGeom prst="rect">
            <a:avLst/>
          </a:prstGeom>
          <a:solidFill>
            <a:srgbClr val="FFFFFF"/>
          </a:solidFill>
          <a:ln w="25400">
            <a:solidFill>
              <a:srgbClr val="0000FF"/>
            </a:solidFill>
            <a:miter lim="800000"/>
            <a:headEnd/>
            <a:tailEnd/>
          </a:ln>
        </xdr:spPr>
      </xdr:sp>
      <xdr:sp macro="" textlink="">
        <xdr:nvSpPr>
          <xdr:cNvPr id="11680" name="Rectangle 104">
            <a:extLst>
              <a:ext uri="{FF2B5EF4-FFF2-40B4-BE49-F238E27FC236}">
                <a16:creationId xmlns:a16="http://schemas.microsoft.com/office/drawing/2014/main" id="{00000000-0008-0000-0000-0000A02D0000}"/>
              </a:ext>
            </a:extLst>
          </xdr:cNvPr>
          <xdr:cNvSpPr>
            <a:spLocks noChangeArrowheads="1"/>
          </xdr:cNvSpPr>
        </xdr:nvSpPr>
        <xdr:spPr bwMode="auto">
          <a:xfrm>
            <a:off x="95" y="1430"/>
            <a:ext cx="259" cy="105"/>
          </a:xfrm>
          <a:prstGeom prst="rect">
            <a:avLst/>
          </a:prstGeom>
          <a:solidFill>
            <a:srgbClr val="FFFFFF"/>
          </a:solidFill>
          <a:ln w="25400">
            <a:solidFill>
              <a:srgbClr val="0000FF"/>
            </a:solidFill>
            <a:miter lim="800000"/>
            <a:headEnd/>
            <a:tailEnd/>
          </a:ln>
        </xdr:spPr>
      </xdr:sp>
      <xdr:sp macro="" textlink="">
        <xdr:nvSpPr>
          <xdr:cNvPr id="11681" name="Line 105">
            <a:extLst>
              <a:ext uri="{FF2B5EF4-FFF2-40B4-BE49-F238E27FC236}">
                <a16:creationId xmlns:a16="http://schemas.microsoft.com/office/drawing/2014/main" id="{00000000-0008-0000-0000-0000A12D0000}"/>
              </a:ext>
            </a:extLst>
          </xdr:cNvPr>
          <xdr:cNvSpPr>
            <a:spLocks noChangeShapeType="1"/>
          </xdr:cNvSpPr>
        </xdr:nvSpPr>
        <xdr:spPr bwMode="auto">
          <a:xfrm>
            <a:off x="95" y="1374"/>
            <a:ext cx="26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11682" name="Line 106">
            <a:extLst>
              <a:ext uri="{FF2B5EF4-FFF2-40B4-BE49-F238E27FC236}">
                <a16:creationId xmlns:a16="http://schemas.microsoft.com/office/drawing/2014/main" id="{00000000-0008-0000-0000-0000A22D0000}"/>
              </a:ext>
            </a:extLst>
          </xdr:cNvPr>
          <xdr:cNvSpPr>
            <a:spLocks noChangeShapeType="1"/>
          </xdr:cNvSpPr>
        </xdr:nvSpPr>
        <xdr:spPr bwMode="auto">
          <a:xfrm flipV="1">
            <a:off x="95" y="1367"/>
            <a:ext cx="0" cy="68"/>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sp macro="" textlink="">
        <xdr:nvSpPr>
          <xdr:cNvPr id="11683" name="Line 107">
            <a:extLst>
              <a:ext uri="{FF2B5EF4-FFF2-40B4-BE49-F238E27FC236}">
                <a16:creationId xmlns:a16="http://schemas.microsoft.com/office/drawing/2014/main" id="{00000000-0008-0000-0000-0000A32D0000}"/>
              </a:ext>
            </a:extLst>
          </xdr:cNvPr>
          <xdr:cNvSpPr>
            <a:spLocks noChangeShapeType="1"/>
          </xdr:cNvSpPr>
        </xdr:nvSpPr>
        <xdr:spPr bwMode="auto">
          <a:xfrm flipV="1">
            <a:off x="354" y="1367"/>
            <a:ext cx="0" cy="68"/>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sp macro="" textlink="">
        <xdr:nvSpPr>
          <xdr:cNvPr id="11684" name="Line 109">
            <a:extLst>
              <a:ext uri="{FF2B5EF4-FFF2-40B4-BE49-F238E27FC236}">
                <a16:creationId xmlns:a16="http://schemas.microsoft.com/office/drawing/2014/main" id="{00000000-0008-0000-0000-0000A42D0000}"/>
              </a:ext>
            </a:extLst>
          </xdr:cNvPr>
          <xdr:cNvSpPr>
            <a:spLocks noChangeShapeType="1"/>
          </xdr:cNvSpPr>
        </xdr:nvSpPr>
        <xdr:spPr bwMode="auto">
          <a:xfrm>
            <a:off x="355" y="1430"/>
            <a:ext cx="1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sp macro="" textlink="">
        <xdr:nvSpPr>
          <xdr:cNvPr id="11685" name="Line 110">
            <a:extLst>
              <a:ext uri="{FF2B5EF4-FFF2-40B4-BE49-F238E27FC236}">
                <a16:creationId xmlns:a16="http://schemas.microsoft.com/office/drawing/2014/main" id="{00000000-0008-0000-0000-0000A52D0000}"/>
              </a:ext>
            </a:extLst>
          </xdr:cNvPr>
          <xdr:cNvSpPr>
            <a:spLocks noChangeShapeType="1"/>
          </xdr:cNvSpPr>
        </xdr:nvSpPr>
        <xdr:spPr bwMode="auto">
          <a:xfrm flipV="1">
            <a:off x="377" y="1430"/>
            <a:ext cx="0" cy="105"/>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4207" name="Text Box 111">
            <a:extLst>
              <a:ext uri="{FF2B5EF4-FFF2-40B4-BE49-F238E27FC236}">
                <a16:creationId xmlns:a16="http://schemas.microsoft.com/office/drawing/2014/main" id="{00000000-0008-0000-0000-00006F100000}"/>
              </a:ext>
            </a:extLst>
          </xdr:cNvPr>
          <xdr:cNvSpPr txBox="1">
            <a:spLocks noChangeArrowheads="1"/>
          </xdr:cNvSpPr>
        </xdr:nvSpPr>
        <xdr:spPr bwMode="auto">
          <a:xfrm>
            <a:off x="180" y="1346"/>
            <a:ext cx="99" cy="21"/>
          </a:xfrm>
          <a:prstGeom prst="rect">
            <a:avLst/>
          </a:prstGeom>
          <a:noFill/>
          <a:ln w="9525">
            <a:noFill/>
            <a:miter lim="800000"/>
            <a:headEnd/>
            <a:tailEnd/>
          </a:ln>
        </xdr:spPr>
        <xdr:txBody>
          <a:bodyPr vertOverflow="clip" wrap="square" lIns="36576" tIns="27432" rIns="0" bIns="0" anchor="t" upright="1"/>
          <a:lstStyle/>
          <a:p>
            <a:pPr algn="l" rtl="0">
              <a:defRPr sz="1000"/>
            </a:pPr>
            <a:r>
              <a:rPr lang="nb-NO" sz="1000" b="0" i="0" u="none" strike="noStrike" baseline="0">
                <a:solidFill>
                  <a:srgbClr val="000000"/>
                </a:solidFill>
                <a:latin typeface="Arial"/>
                <a:cs typeface="Arial"/>
              </a:rPr>
              <a:t>Byggets bredde</a:t>
            </a:r>
          </a:p>
        </xdr:txBody>
      </xdr:sp>
      <xdr:sp macro="" textlink="">
        <xdr:nvSpPr>
          <xdr:cNvPr id="4208" name="Text Box 112">
            <a:extLst>
              <a:ext uri="{FF2B5EF4-FFF2-40B4-BE49-F238E27FC236}">
                <a16:creationId xmlns:a16="http://schemas.microsoft.com/office/drawing/2014/main" id="{00000000-0008-0000-0000-000070100000}"/>
              </a:ext>
            </a:extLst>
          </xdr:cNvPr>
          <xdr:cNvSpPr txBox="1">
            <a:spLocks noChangeArrowheads="1"/>
          </xdr:cNvSpPr>
        </xdr:nvSpPr>
        <xdr:spPr bwMode="auto">
          <a:xfrm>
            <a:off x="382" y="1467"/>
            <a:ext cx="95" cy="21"/>
          </a:xfrm>
          <a:prstGeom prst="rect">
            <a:avLst/>
          </a:prstGeom>
          <a:noFill/>
          <a:ln w="9525">
            <a:noFill/>
            <a:miter lim="800000"/>
            <a:headEnd/>
            <a:tailEnd/>
          </a:ln>
        </xdr:spPr>
        <xdr:txBody>
          <a:bodyPr vertOverflow="clip" wrap="square" lIns="36576" tIns="27432" rIns="0" bIns="0" anchor="t" upright="1"/>
          <a:lstStyle/>
          <a:p>
            <a:pPr algn="l" rtl="0">
              <a:defRPr sz="1000"/>
            </a:pPr>
            <a:r>
              <a:rPr lang="nb-NO" sz="1000" b="0" i="0" u="none" strike="noStrike" baseline="0">
                <a:solidFill>
                  <a:srgbClr val="000000"/>
                </a:solidFill>
                <a:latin typeface="Arial"/>
                <a:cs typeface="Arial"/>
              </a:rPr>
              <a:t>Byggets høyde</a:t>
            </a:r>
          </a:p>
        </xdr:txBody>
      </xdr:sp>
      <xdr:sp macro="" textlink="">
        <xdr:nvSpPr>
          <xdr:cNvPr id="11688" name="Rectangle 113">
            <a:extLst>
              <a:ext uri="{FF2B5EF4-FFF2-40B4-BE49-F238E27FC236}">
                <a16:creationId xmlns:a16="http://schemas.microsoft.com/office/drawing/2014/main" id="{00000000-0008-0000-0000-0000A82D0000}"/>
              </a:ext>
            </a:extLst>
          </xdr:cNvPr>
          <xdr:cNvSpPr>
            <a:spLocks noChangeArrowheads="1"/>
          </xdr:cNvSpPr>
        </xdr:nvSpPr>
        <xdr:spPr bwMode="auto">
          <a:xfrm>
            <a:off x="509" y="1430"/>
            <a:ext cx="139" cy="105"/>
          </a:xfrm>
          <a:prstGeom prst="rect">
            <a:avLst/>
          </a:prstGeom>
          <a:solidFill>
            <a:srgbClr val="FFFFFF"/>
          </a:solidFill>
          <a:ln w="25400">
            <a:solidFill>
              <a:srgbClr val="0000FF"/>
            </a:solidFill>
            <a:miter lim="800000"/>
            <a:headEnd/>
            <a:tailEnd/>
          </a:ln>
        </xdr:spPr>
      </xdr:sp>
      <xdr:sp macro="" textlink="">
        <xdr:nvSpPr>
          <xdr:cNvPr id="11689" name="Line 114">
            <a:extLst>
              <a:ext uri="{FF2B5EF4-FFF2-40B4-BE49-F238E27FC236}">
                <a16:creationId xmlns:a16="http://schemas.microsoft.com/office/drawing/2014/main" id="{00000000-0008-0000-0000-0000A92D0000}"/>
              </a:ext>
            </a:extLst>
          </xdr:cNvPr>
          <xdr:cNvSpPr>
            <a:spLocks noChangeShapeType="1"/>
          </xdr:cNvSpPr>
        </xdr:nvSpPr>
        <xdr:spPr bwMode="auto">
          <a:xfrm>
            <a:off x="509" y="1373"/>
            <a:ext cx="139"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11690" name="Line 115">
            <a:extLst>
              <a:ext uri="{FF2B5EF4-FFF2-40B4-BE49-F238E27FC236}">
                <a16:creationId xmlns:a16="http://schemas.microsoft.com/office/drawing/2014/main" id="{00000000-0008-0000-0000-0000AA2D0000}"/>
              </a:ext>
            </a:extLst>
          </xdr:cNvPr>
          <xdr:cNvSpPr>
            <a:spLocks noChangeShapeType="1"/>
          </xdr:cNvSpPr>
        </xdr:nvSpPr>
        <xdr:spPr bwMode="auto">
          <a:xfrm flipV="1">
            <a:off x="509" y="1355"/>
            <a:ext cx="0" cy="74"/>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sp macro="" textlink="">
        <xdr:nvSpPr>
          <xdr:cNvPr id="11691" name="Line 116">
            <a:extLst>
              <a:ext uri="{FF2B5EF4-FFF2-40B4-BE49-F238E27FC236}">
                <a16:creationId xmlns:a16="http://schemas.microsoft.com/office/drawing/2014/main" id="{00000000-0008-0000-0000-0000AB2D0000}"/>
              </a:ext>
            </a:extLst>
          </xdr:cNvPr>
          <xdr:cNvSpPr>
            <a:spLocks noChangeShapeType="1"/>
          </xdr:cNvSpPr>
        </xdr:nvSpPr>
        <xdr:spPr bwMode="auto">
          <a:xfrm flipV="1">
            <a:off x="648" y="1351"/>
            <a:ext cx="0" cy="78"/>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sp macro="" textlink="">
        <xdr:nvSpPr>
          <xdr:cNvPr id="4216" name="Text Box 120">
            <a:extLst>
              <a:ext uri="{FF2B5EF4-FFF2-40B4-BE49-F238E27FC236}">
                <a16:creationId xmlns:a16="http://schemas.microsoft.com/office/drawing/2014/main" id="{00000000-0008-0000-0000-000078100000}"/>
              </a:ext>
            </a:extLst>
          </xdr:cNvPr>
          <xdr:cNvSpPr txBox="1">
            <a:spLocks noChangeArrowheads="1"/>
          </xdr:cNvSpPr>
        </xdr:nvSpPr>
        <xdr:spPr bwMode="auto">
          <a:xfrm>
            <a:off x="534" y="1344"/>
            <a:ext cx="99" cy="21"/>
          </a:xfrm>
          <a:prstGeom prst="rect">
            <a:avLst/>
          </a:prstGeom>
          <a:noFill/>
          <a:ln w="9525">
            <a:noFill/>
            <a:miter lim="800000"/>
            <a:headEnd/>
            <a:tailEnd/>
          </a:ln>
        </xdr:spPr>
        <xdr:txBody>
          <a:bodyPr vertOverflow="clip" wrap="square" lIns="36576" tIns="27432" rIns="0" bIns="0" anchor="t" upright="1"/>
          <a:lstStyle/>
          <a:p>
            <a:pPr algn="l" rtl="0">
              <a:defRPr sz="1000"/>
            </a:pPr>
            <a:r>
              <a:rPr lang="nb-NO" sz="1000" b="0" i="0" u="none" strike="noStrike" baseline="0">
                <a:solidFill>
                  <a:srgbClr val="000000"/>
                </a:solidFill>
                <a:latin typeface="Arial"/>
                <a:cs typeface="Arial"/>
              </a:rPr>
              <a:t>Byggets dybde</a:t>
            </a:r>
          </a:p>
        </xdr:txBody>
      </xdr:sp>
      <xdr:sp macro="" textlink="">
        <xdr:nvSpPr>
          <xdr:cNvPr id="11693" name="Line 123">
            <a:extLst>
              <a:ext uri="{FF2B5EF4-FFF2-40B4-BE49-F238E27FC236}">
                <a16:creationId xmlns:a16="http://schemas.microsoft.com/office/drawing/2014/main" id="{00000000-0008-0000-0000-0000AD2D0000}"/>
              </a:ext>
            </a:extLst>
          </xdr:cNvPr>
          <xdr:cNvSpPr>
            <a:spLocks noChangeShapeType="1"/>
          </xdr:cNvSpPr>
        </xdr:nvSpPr>
        <xdr:spPr bwMode="auto">
          <a:xfrm flipV="1">
            <a:off x="224" y="1398"/>
            <a:ext cx="354" cy="1"/>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sp macro="" textlink="">
        <xdr:nvSpPr>
          <xdr:cNvPr id="11694" name="Line 124">
            <a:extLst>
              <a:ext uri="{FF2B5EF4-FFF2-40B4-BE49-F238E27FC236}">
                <a16:creationId xmlns:a16="http://schemas.microsoft.com/office/drawing/2014/main" id="{00000000-0008-0000-0000-0000AE2D0000}"/>
              </a:ext>
            </a:extLst>
          </xdr:cNvPr>
          <xdr:cNvSpPr>
            <a:spLocks noChangeShapeType="1"/>
          </xdr:cNvSpPr>
        </xdr:nvSpPr>
        <xdr:spPr bwMode="auto">
          <a:xfrm flipV="1">
            <a:off x="377" y="1399"/>
            <a:ext cx="0" cy="31"/>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4221" name="Text Box 125">
            <a:extLst>
              <a:ext uri="{FF2B5EF4-FFF2-40B4-BE49-F238E27FC236}">
                <a16:creationId xmlns:a16="http://schemas.microsoft.com/office/drawing/2014/main" id="{00000000-0008-0000-0000-00007D100000}"/>
              </a:ext>
            </a:extLst>
          </xdr:cNvPr>
          <xdr:cNvSpPr txBox="1">
            <a:spLocks noChangeArrowheads="1"/>
          </xdr:cNvSpPr>
        </xdr:nvSpPr>
        <xdr:spPr bwMode="auto">
          <a:xfrm>
            <a:off x="397" y="1406"/>
            <a:ext cx="76" cy="23"/>
          </a:xfrm>
          <a:prstGeom prst="rect">
            <a:avLst/>
          </a:prstGeom>
          <a:noFill/>
          <a:ln w="9525">
            <a:noFill/>
            <a:miter lim="800000"/>
            <a:headEnd/>
            <a:tailEnd/>
          </a:ln>
        </xdr:spPr>
        <xdr:txBody>
          <a:bodyPr vertOverflow="clip" wrap="square" lIns="36576" tIns="27432" rIns="0" bIns="0" anchor="t" upright="1"/>
          <a:lstStyle/>
          <a:p>
            <a:pPr algn="l" rtl="0">
              <a:defRPr sz="1000"/>
            </a:pPr>
            <a:r>
              <a:rPr lang="nb-NO" sz="1000" b="0" i="0" u="none" strike="noStrike" baseline="0">
                <a:solidFill>
                  <a:srgbClr val="000000"/>
                </a:solidFill>
                <a:latin typeface="Arial"/>
                <a:cs typeface="Arial"/>
              </a:rPr>
              <a:t>Takhøyde</a:t>
            </a:r>
          </a:p>
        </xdr:txBody>
      </xdr:sp>
      <xdr:sp macro="" textlink="">
        <xdr:nvSpPr>
          <xdr:cNvPr id="11696" name="Line 217">
            <a:extLst>
              <a:ext uri="{FF2B5EF4-FFF2-40B4-BE49-F238E27FC236}">
                <a16:creationId xmlns:a16="http://schemas.microsoft.com/office/drawing/2014/main" id="{00000000-0008-0000-0000-0000B02D0000}"/>
              </a:ext>
            </a:extLst>
          </xdr:cNvPr>
          <xdr:cNvSpPr>
            <a:spLocks noChangeShapeType="1"/>
          </xdr:cNvSpPr>
        </xdr:nvSpPr>
        <xdr:spPr bwMode="auto">
          <a:xfrm>
            <a:off x="802" y="1375"/>
            <a:ext cx="26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11697" name="Line 218">
            <a:extLst>
              <a:ext uri="{FF2B5EF4-FFF2-40B4-BE49-F238E27FC236}">
                <a16:creationId xmlns:a16="http://schemas.microsoft.com/office/drawing/2014/main" id="{00000000-0008-0000-0000-0000B12D0000}"/>
              </a:ext>
            </a:extLst>
          </xdr:cNvPr>
          <xdr:cNvSpPr>
            <a:spLocks noChangeShapeType="1"/>
          </xdr:cNvSpPr>
        </xdr:nvSpPr>
        <xdr:spPr bwMode="auto">
          <a:xfrm flipV="1">
            <a:off x="802" y="1357"/>
            <a:ext cx="0" cy="4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sp macro="" textlink="">
        <xdr:nvSpPr>
          <xdr:cNvPr id="11698" name="Line 219">
            <a:extLst>
              <a:ext uri="{FF2B5EF4-FFF2-40B4-BE49-F238E27FC236}">
                <a16:creationId xmlns:a16="http://schemas.microsoft.com/office/drawing/2014/main" id="{00000000-0008-0000-0000-0000B22D0000}"/>
              </a:ext>
            </a:extLst>
          </xdr:cNvPr>
          <xdr:cNvSpPr>
            <a:spLocks noChangeShapeType="1"/>
          </xdr:cNvSpPr>
        </xdr:nvSpPr>
        <xdr:spPr bwMode="auto">
          <a:xfrm flipV="1">
            <a:off x="1061" y="1357"/>
            <a:ext cx="0" cy="4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sp macro="" textlink="">
        <xdr:nvSpPr>
          <xdr:cNvPr id="11699" name="Line 220">
            <a:extLst>
              <a:ext uri="{FF2B5EF4-FFF2-40B4-BE49-F238E27FC236}">
                <a16:creationId xmlns:a16="http://schemas.microsoft.com/office/drawing/2014/main" id="{00000000-0008-0000-0000-0000B32D0000}"/>
              </a:ext>
            </a:extLst>
          </xdr:cNvPr>
          <xdr:cNvSpPr>
            <a:spLocks noChangeShapeType="1"/>
          </xdr:cNvSpPr>
        </xdr:nvSpPr>
        <xdr:spPr bwMode="auto">
          <a:xfrm>
            <a:off x="1062" y="1397"/>
            <a:ext cx="4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sp macro="" textlink="">
        <xdr:nvSpPr>
          <xdr:cNvPr id="11700" name="Line 221">
            <a:extLst>
              <a:ext uri="{FF2B5EF4-FFF2-40B4-BE49-F238E27FC236}">
                <a16:creationId xmlns:a16="http://schemas.microsoft.com/office/drawing/2014/main" id="{00000000-0008-0000-0000-0000B42D0000}"/>
              </a:ext>
            </a:extLst>
          </xdr:cNvPr>
          <xdr:cNvSpPr>
            <a:spLocks noChangeShapeType="1"/>
          </xdr:cNvSpPr>
        </xdr:nvSpPr>
        <xdr:spPr bwMode="auto">
          <a:xfrm flipV="1">
            <a:off x="1084" y="1398"/>
            <a:ext cx="0" cy="138"/>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4318" name="Text Box 222">
            <a:extLst>
              <a:ext uri="{FF2B5EF4-FFF2-40B4-BE49-F238E27FC236}">
                <a16:creationId xmlns:a16="http://schemas.microsoft.com/office/drawing/2014/main" id="{00000000-0008-0000-0000-0000DE100000}"/>
              </a:ext>
            </a:extLst>
          </xdr:cNvPr>
          <xdr:cNvSpPr txBox="1">
            <a:spLocks noChangeArrowheads="1"/>
          </xdr:cNvSpPr>
        </xdr:nvSpPr>
        <xdr:spPr bwMode="auto">
          <a:xfrm>
            <a:off x="887" y="1348"/>
            <a:ext cx="99" cy="21"/>
          </a:xfrm>
          <a:prstGeom prst="rect">
            <a:avLst/>
          </a:prstGeom>
          <a:noFill/>
          <a:ln w="9525">
            <a:noFill/>
            <a:miter lim="800000"/>
            <a:headEnd/>
            <a:tailEnd/>
          </a:ln>
        </xdr:spPr>
        <xdr:txBody>
          <a:bodyPr vertOverflow="clip" wrap="square" lIns="36576" tIns="27432" rIns="0" bIns="0" anchor="t" upright="1"/>
          <a:lstStyle/>
          <a:p>
            <a:pPr algn="l" rtl="0">
              <a:defRPr sz="1000"/>
            </a:pPr>
            <a:r>
              <a:rPr lang="nb-NO" sz="1000" b="0" i="0" u="none" strike="noStrike" baseline="0">
                <a:solidFill>
                  <a:srgbClr val="000000"/>
                </a:solidFill>
                <a:latin typeface="Arial"/>
                <a:cs typeface="Arial"/>
              </a:rPr>
              <a:t>Byggets bredde</a:t>
            </a:r>
          </a:p>
        </xdr:txBody>
      </xdr:sp>
      <xdr:sp macro="" textlink="">
        <xdr:nvSpPr>
          <xdr:cNvPr id="4319" name="Text Box 223">
            <a:extLst>
              <a:ext uri="{FF2B5EF4-FFF2-40B4-BE49-F238E27FC236}">
                <a16:creationId xmlns:a16="http://schemas.microsoft.com/office/drawing/2014/main" id="{00000000-0008-0000-0000-0000DF100000}"/>
              </a:ext>
            </a:extLst>
          </xdr:cNvPr>
          <xdr:cNvSpPr txBox="1">
            <a:spLocks noChangeArrowheads="1"/>
          </xdr:cNvSpPr>
        </xdr:nvSpPr>
        <xdr:spPr bwMode="auto">
          <a:xfrm>
            <a:off x="1095" y="1466"/>
            <a:ext cx="95" cy="21"/>
          </a:xfrm>
          <a:prstGeom prst="rect">
            <a:avLst/>
          </a:prstGeom>
          <a:noFill/>
          <a:ln w="9525">
            <a:noFill/>
            <a:miter lim="800000"/>
            <a:headEnd/>
            <a:tailEnd/>
          </a:ln>
        </xdr:spPr>
        <xdr:txBody>
          <a:bodyPr vertOverflow="clip" wrap="square" lIns="36576" tIns="27432" rIns="0" bIns="0" anchor="t" upright="1"/>
          <a:lstStyle/>
          <a:p>
            <a:pPr algn="l" rtl="0">
              <a:defRPr sz="1000"/>
            </a:pPr>
            <a:r>
              <a:rPr lang="nb-NO" sz="1000" b="0" i="0" u="none" strike="noStrike" baseline="0">
                <a:solidFill>
                  <a:srgbClr val="000000"/>
                </a:solidFill>
                <a:latin typeface="Arial"/>
                <a:cs typeface="Arial"/>
              </a:rPr>
              <a:t>Byggets dybde</a:t>
            </a:r>
          </a:p>
        </xdr:txBody>
      </xdr:sp>
      <xdr:sp macro="" textlink="">
        <xdr:nvSpPr>
          <xdr:cNvPr id="11703" name="Line 225">
            <a:extLst>
              <a:ext uri="{FF2B5EF4-FFF2-40B4-BE49-F238E27FC236}">
                <a16:creationId xmlns:a16="http://schemas.microsoft.com/office/drawing/2014/main" id="{00000000-0008-0000-0000-0000B72D0000}"/>
              </a:ext>
            </a:extLst>
          </xdr:cNvPr>
          <xdr:cNvSpPr>
            <a:spLocks noChangeShapeType="1"/>
          </xdr:cNvSpPr>
        </xdr:nvSpPr>
        <xdr:spPr bwMode="auto">
          <a:xfrm flipH="1" flipV="1">
            <a:off x="802" y="1466"/>
            <a:ext cx="258" cy="0"/>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11704" name="Line 226">
            <a:extLst>
              <a:ext uri="{FF2B5EF4-FFF2-40B4-BE49-F238E27FC236}">
                <a16:creationId xmlns:a16="http://schemas.microsoft.com/office/drawing/2014/main" id="{00000000-0008-0000-0000-0000B82D0000}"/>
              </a:ext>
            </a:extLst>
          </xdr:cNvPr>
          <xdr:cNvSpPr>
            <a:spLocks noChangeShapeType="1"/>
          </xdr:cNvSpPr>
        </xdr:nvSpPr>
        <xdr:spPr bwMode="auto">
          <a:xfrm>
            <a:off x="1061" y="1537"/>
            <a:ext cx="4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sp macro="" textlink="">
        <xdr:nvSpPr>
          <xdr:cNvPr id="11705" name="Freeform 227">
            <a:extLst>
              <a:ext uri="{FF2B5EF4-FFF2-40B4-BE49-F238E27FC236}">
                <a16:creationId xmlns:a16="http://schemas.microsoft.com/office/drawing/2014/main" id="{00000000-0008-0000-0000-0000B92D0000}"/>
              </a:ext>
            </a:extLst>
          </xdr:cNvPr>
          <xdr:cNvSpPr>
            <a:spLocks/>
          </xdr:cNvSpPr>
        </xdr:nvSpPr>
        <xdr:spPr bwMode="auto">
          <a:xfrm>
            <a:off x="510" y="1399"/>
            <a:ext cx="139" cy="31"/>
          </a:xfrm>
          <a:custGeom>
            <a:avLst/>
            <a:gdLst>
              <a:gd name="T0" fmla="*/ 0 w 259"/>
              <a:gd name="T1" fmla="*/ 31 h 31"/>
              <a:gd name="T2" fmla="*/ 20 w 259"/>
              <a:gd name="T3" fmla="*/ 0 h 31"/>
              <a:gd name="T4" fmla="*/ 40 w 259"/>
              <a:gd name="T5" fmla="*/ 30 h 31"/>
              <a:gd name="T6" fmla="*/ 0 60000 65536"/>
              <a:gd name="T7" fmla="*/ 0 60000 65536"/>
              <a:gd name="T8" fmla="*/ 0 60000 65536"/>
              <a:gd name="T9" fmla="*/ 0 w 259"/>
              <a:gd name="T10" fmla="*/ 0 h 31"/>
              <a:gd name="T11" fmla="*/ 259 w 259"/>
              <a:gd name="T12" fmla="*/ 31 h 31"/>
            </a:gdLst>
            <a:ahLst/>
            <a:cxnLst>
              <a:cxn ang="T6">
                <a:pos x="T0" y="T1"/>
              </a:cxn>
              <a:cxn ang="T7">
                <a:pos x="T2" y="T3"/>
              </a:cxn>
              <a:cxn ang="T8">
                <a:pos x="T4" y="T5"/>
              </a:cxn>
            </a:cxnLst>
            <a:rect l="T9" t="T10" r="T11" b="T12"/>
            <a:pathLst>
              <a:path w="259" h="31">
                <a:moveTo>
                  <a:pt x="0" y="31"/>
                </a:moveTo>
                <a:cubicBezTo>
                  <a:pt x="43" y="15"/>
                  <a:pt x="87" y="0"/>
                  <a:pt x="130" y="0"/>
                </a:cubicBezTo>
                <a:cubicBezTo>
                  <a:pt x="173" y="0"/>
                  <a:pt x="216" y="15"/>
                  <a:pt x="259" y="30"/>
                </a:cubicBezTo>
              </a:path>
            </a:pathLst>
          </a:custGeom>
          <a:noFill/>
          <a:ln w="25400" cap="flat" cmpd="sng">
            <a:solidFill>
              <a:srgbClr val="0000FF"/>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11706" name="Line 229">
            <a:extLst>
              <a:ext uri="{FF2B5EF4-FFF2-40B4-BE49-F238E27FC236}">
                <a16:creationId xmlns:a16="http://schemas.microsoft.com/office/drawing/2014/main" id="{00000000-0008-0000-0000-0000BA2D0000}"/>
              </a:ext>
            </a:extLst>
          </xdr:cNvPr>
          <xdr:cNvSpPr>
            <a:spLocks noChangeShapeType="1"/>
          </xdr:cNvSpPr>
        </xdr:nvSpPr>
        <xdr:spPr bwMode="auto">
          <a:xfrm flipV="1">
            <a:off x="487" y="1429"/>
            <a:ext cx="0" cy="105"/>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11707" name="Line 230">
            <a:extLst>
              <a:ext uri="{FF2B5EF4-FFF2-40B4-BE49-F238E27FC236}">
                <a16:creationId xmlns:a16="http://schemas.microsoft.com/office/drawing/2014/main" id="{00000000-0008-0000-0000-0000BB2D0000}"/>
              </a:ext>
            </a:extLst>
          </xdr:cNvPr>
          <xdr:cNvSpPr>
            <a:spLocks noChangeShapeType="1"/>
          </xdr:cNvSpPr>
        </xdr:nvSpPr>
        <xdr:spPr bwMode="auto">
          <a:xfrm flipV="1">
            <a:off x="487" y="1398"/>
            <a:ext cx="0" cy="31"/>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11708" name="Line 231">
            <a:extLst>
              <a:ext uri="{FF2B5EF4-FFF2-40B4-BE49-F238E27FC236}">
                <a16:creationId xmlns:a16="http://schemas.microsoft.com/office/drawing/2014/main" id="{00000000-0008-0000-0000-0000BC2D0000}"/>
              </a:ext>
            </a:extLst>
          </xdr:cNvPr>
          <xdr:cNvSpPr>
            <a:spLocks noChangeShapeType="1"/>
          </xdr:cNvSpPr>
        </xdr:nvSpPr>
        <xdr:spPr bwMode="auto">
          <a:xfrm>
            <a:off x="94" y="1399"/>
            <a:ext cx="260" cy="0"/>
          </a:xfrm>
          <a:prstGeom prst="line">
            <a:avLst/>
          </a:prstGeom>
          <a:noFill/>
          <a:ln w="25400">
            <a:solidFill>
              <a:srgbClr val="0000FF"/>
            </a:solidFill>
            <a:round/>
            <a:headEnd/>
            <a:tailEnd/>
          </a:ln>
          <a:extLst>
            <a:ext uri="{909E8E84-426E-40DD-AFC4-6F175D3DCCD1}">
              <a14:hiddenFill xmlns:a14="http://schemas.microsoft.com/office/drawing/2010/main">
                <a:noFill/>
              </a14:hiddenFill>
            </a:ext>
          </a:extLst>
        </xdr:spPr>
      </xdr:sp>
      <xdr:sp macro="" textlink="">
        <xdr:nvSpPr>
          <xdr:cNvPr id="11709" name="Line 232">
            <a:extLst>
              <a:ext uri="{FF2B5EF4-FFF2-40B4-BE49-F238E27FC236}">
                <a16:creationId xmlns:a16="http://schemas.microsoft.com/office/drawing/2014/main" id="{00000000-0008-0000-0000-0000BD2D0000}"/>
              </a:ext>
            </a:extLst>
          </xdr:cNvPr>
          <xdr:cNvSpPr>
            <a:spLocks noChangeShapeType="1"/>
          </xdr:cNvSpPr>
        </xdr:nvSpPr>
        <xdr:spPr bwMode="auto">
          <a:xfrm flipV="1">
            <a:off x="95" y="1399"/>
            <a:ext cx="0" cy="30"/>
          </a:xfrm>
          <a:prstGeom prst="line">
            <a:avLst/>
          </a:prstGeom>
          <a:noFill/>
          <a:ln w="25400">
            <a:solidFill>
              <a:srgbClr val="0000FF"/>
            </a:solidFill>
            <a:round/>
            <a:headEnd/>
            <a:tailEnd/>
          </a:ln>
          <a:extLst>
            <a:ext uri="{909E8E84-426E-40DD-AFC4-6F175D3DCCD1}">
              <a14:hiddenFill xmlns:a14="http://schemas.microsoft.com/office/drawing/2010/main">
                <a:noFill/>
              </a14:hiddenFill>
            </a:ext>
          </a:extLst>
        </xdr:spPr>
      </xdr:sp>
      <xdr:sp macro="" textlink="">
        <xdr:nvSpPr>
          <xdr:cNvPr id="11710" name="Line 233">
            <a:extLst>
              <a:ext uri="{FF2B5EF4-FFF2-40B4-BE49-F238E27FC236}">
                <a16:creationId xmlns:a16="http://schemas.microsoft.com/office/drawing/2014/main" id="{00000000-0008-0000-0000-0000BE2D0000}"/>
              </a:ext>
            </a:extLst>
          </xdr:cNvPr>
          <xdr:cNvSpPr>
            <a:spLocks noChangeShapeType="1"/>
          </xdr:cNvSpPr>
        </xdr:nvSpPr>
        <xdr:spPr bwMode="auto">
          <a:xfrm flipV="1">
            <a:off x="354" y="1398"/>
            <a:ext cx="0" cy="30"/>
          </a:xfrm>
          <a:prstGeom prst="line">
            <a:avLst/>
          </a:prstGeom>
          <a:noFill/>
          <a:ln w="25400">
            <a:solidFill>
              <a:srgbClr val="0000FF"/>
            </a:solidFill>
            <a:round/>
            <a:headEnd/>
            <a:tailEnd/>
          </a:ln>
          <a:extLst>
            <a:ext uri="{909E8E84-426E-40DD-AFC4-6F175D3DCCD1}">
              <a14:hiddenFill xmlns:a14="http://schemas.microsoft.com/office/drawing/2010/main">
                <a:noFill/>
              </a14:hiddenFill>
            </a:ext>
          </a:extLst>
        </xdr:spPr>
      </xdr:sp>
      <xdr:sp macro="" textlink="">
        <xdr:nvSpPr>
          <xdr:cNvPr id="11711" name="Line 254">
            <a:extLst>
              <a:ext uri="{FF2B5EF4-FFF2-40B4-BE49-F238E27FC236}">
                <a16:creationId xmlns:a16="http://schemas.microsoft.com/office/drawing/2014/main" id="{00000000-0008-0000-0000-0000BF2D0000}"/>
              </a:ext>
            </a:extLst>
          </xdr:cNvPr>
          <xdr:cNvSpPr>
            <a:spLocks noChangeShapeType="1"/>
          </xdr:cNvSpPr>
        </xdr:nvSpPr>
        <xdr:spPr bwMode="auto">
          <a:xfrm rot="-5400000">
            <a:off x="757" y="1466"/>
            <a:ext cx="138" cy="0"/>
          </a:xfrm>
          <a:prstGeom prst="line">
            <a:avLst/>
          </a:prstGeom>
          <a:noFill/>
          <a:ln w="12700">
            <a:solidFill>
              <a:srgbClr val="FF0000"/>
            </a:solidFill>
            <a:prstDash val="dash"/>
            <a:round/>
            <a:headEnd/>
            <a:tailEnd/>
          </a:ln>
          <a:extLst>
            <a:ext uri="{909E8E84-426E-40DD-AFC4-6F175D3DCCD1}">
              <a14:hiddenFill xmlns:a14="http://schemas.microsoft.com/office/drawing/2010/main">
                <a:noFill/>
              </a14:hiddenFill>
            </a:ext>
          </a:extLst>
        </xdr:spPr>
      </xdr:sp>
      <xdr:sp macro="" textlink="">
        <xdr:nvSpPr>
          <xdr:cNvPr id="11712" name="Line 255">
            <a:extLst>
              <a:ext uri="{FF2B5EF4-FFF2-40B4-BE49-F238E27FC236}">
                <a16:creationId xmlns:a16="http://schemas.microsoft.com/office/drawing/2014/main" id="{00000000-0008-0000-0000-0000C02D0000}"/>
              </a:ext>
            </a:extLst>
          </xdr:cNvPr>
          <xdr:cNvSpPr>
            <a:spLocks noChangeShapeType="1"/>
          </xdr:cNvSpPr>
        </xdr:nvSpPr>
        <xdr:spPr bwMode="auto">
          <a:xfrm rot="-5400000">
            <a:off x="966" y="1467"/>
            <a:ext cx="137" cy="0"/>
          </a:xfrm>
          <a:prstGeom prst="line">
            <a:avLst/>
          </a:prstGeom>
          <a:noFill/>
          <a:ln w="12700">
            <a:solidFill>
              <a:srgbClr val="FF0000"/>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371475</xdr:colOff>
      <xdr:row>68</xdr:row>
      <xdr:rowOff>133350</xdr:rowOff>
    </xdr:from>
    <xdr:to>
      <xdr:col>10</xdr:col>
      <xdr:colOff>552450</xdr:colOff>
      <xdr:row>77</xdr:row>
      <xdr:rowOff>9525</xdr:rowOff>
    </xdr:to>
    <xdr:sp macro="" textlink="">
      <xdr:nvSpPr>
        <xdr:cNvPr id="11634" name="Rectangle 199">
          <a:extLst>
            <a:ext uri="{FF2B5EF4-FFF2-40B4-BE49-F238E27FC236}">
              <a16:creationId xmlns:a16="http://schemas.microsoft.com/office/drawing/2014/main" id="{00000000-0008-0000-0000-0000722D0000}"/>
            </a:ext>
          </a:extLst>
        </xdr:cNvPr>
        <xdr:cNvSpPr>
          <a:spLocks noChangeArrowheads="1"/>
        </xdr:cNvSpPr>
      </xdr:nvSpPr>
      <xdr:spPr bwMode="auto">
        <a:xfrm>
          <a:off x="7639050" y="11487150"/>
          <a:ext cx="2466975" cy="1333500"/>
        </a:xfrm>
        <a:prstGeom prst="rect">
          <a:avLst/>
        </a:prstGeom>
        <a:solidFill>
          <a:srgbClr val="FFFFFF"/>
        </a:solidFill>
        <a:ln w="25400">
          <a:solidFill>
            <a:srgbClr val="0000FF"/>
          </a:solidFill>
          <a:miter lim="800000"/>
          <a:headEnd/>
          <a:tailEnd/>
        </a:ln>
      </xdr:spPr>
    </xdr:sp>
    <xdr:clientData/>
  </xdr:twoCellAnchor>
  <xdr:twoCellAnchor>
    <xdr:from>
      <xdr:col>1</xdr:col>
      <xdr:colOff>142875</xdr:colOff>
      <xdr:row>70</xdr:row>
      <xdr:rowOff>142875</xdr:rowOff>
    </xdr:from>
    <xdr:to>
      <xdr:col>2</xdr:col>
      <xdr:colOff>600075</xdr:colOff>
      <xdr:row>77</xdr:row>
      <xdr:rowOff>9525</xdr:rowOff>
    </xdr:to>
    <xdr:sp macro="" textlink="">
      <xdr:nvSpPr>
        <xdr:cNvPr id="11635" name="Rectangle 77">
          <a:extLst>
            <a:ext uri="{FF2B5EF4-FFF2-40B4-BE49-F238E27FC236}">
              <a16:creationId xmlns:a16="http://schemas.microsoft.com/office/drawing/2014/main" id="{00000000-0008-0000-0000-0000732D0000}"/>
            </a:ext>
          </a:extLst>
        </xdr:cNvPr>
        <xdr:cNvSpPr>
          <a:spLocks noChangeArrowheads="1"/>
        </xdr:cNvSpPr>
      </xdr:nvSpPr>
      <xdr:spPr bwMode="auto">
        <a:xfrm>
          <a:off x="904875" y="11820525"/>
          <a:ext cx="2466975" cy="1000125"/>
        </a:xfrm>
        <a:prstGeom prst="rect">
          <a:avLst/>
        </a:prstGeom>
        <a:solidFill>
          <a:srgbClr val="FFFFFF"/>
        </a:solidFill>
        <a:ln w="25400">
          <a:solidFill>
            <a:srgbClr val="0000FF"/>
          </a:solidFill>
          <a:miter lim="800000"/>
          <a:headEnd/>
          <a:tailEnd/>
        </a:ln>
      </xdr:spPr>
    </xdr:sp>
    <xdr:clientData/>
  </xdr:twoCellAnchor>
  <xdr:twoCellAnchor>
    <xdr:from>
      <xdr:col>1</xdr:col>
      <xdr:colOff>142875</xdr:colOff>
      <xdr:row>68</xdr:row>
      <xdr:rowOff>0</xdr:rowOff>
    </xdr:from>
    <xdr:to>
      <xdr:col>2</xdr:col>
      <xdr:colOff>609600</xdr:colOff>
      <xdr:row>68</xdr:row>
      <xdr:rowOff>0</xdr:rowOff>
    </xdr:to>
    <xdr:sp macro="" textlink="">
      <xdr:nvSpPr>
        <xdr:cNvPr id="11636" name="Line 78">
          <a:extLst>
            <a:ext uri="{FF2B5EF4-FFF2-40B4-BE49-F238E27FC236}">
              <a16:creationId xmlns:a16="http://schemas.microsoft.com/office/drawing/2014/main" id="{00000000-0008-0000-0000-0000742D0000}"/>
            </a:ext>
          </a:extLst>
        </xdr:cNvPr>
        <xdr:cNvSpPr>
          <a:spLocks noChangeShapeType="1"/>
        </xdr:cNvSpPr>
      </xdr:nvSpPr>
      <xdr:spPr bwMode="auto">
        <a:xfrm>
          <a:off x="904875" y="11353800"/>
          <a:ext cx="247650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142875</xdr:colOff>
      <xdr:row>66</xdr:row>
      <xdr:rowOff>76200</xdr:rowOff>
    </xdr:from>
    <xdr:to>
      <xdr:col>1</xdr:col>
      <xdr:colOff>142875</xdr:colOff>
      <xdr:row>71</xdr:row>
      <xdr:rowOff>28575</xdr:rowOff>
    </xdr:to>
    <xdr:sp macro="" textlink="">
      <xdr:nvSpPr>
        <xdr:cNvPr id="11637" name="Line 79">
          <a:extLst>
            <a:ext uri="{FF2B5EF4-FFF2-40B4-BE49-F238E27FC236}">
              <a16:creationId xmlns:a16="http://schemas.microsoft.com/office/drawing/2014/main" id="{00000000-0008-0000-0000-0000752D0000}"/>
            </a:ext>
          </a:extLst>
        </xdr:cNvPr>
        <xdr:cNvSpPr>
          <a:spLocks noChangeShapeType="1"/>
        </xdr:cNvSpPr>
      </xdr:nvSpPr>
      <xdr:spPr bwMode="auto">
        <a:xfrm flipV="1">
          <a:off x="904875" y="11106150"/>
          <a:ext cx="0" cy="76200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600075</xdr:colOff>
      <xdr:row>66</xdr:row>
      <xdr:rowOff>95250</xdr:rowOff>
    </xdr:from>
    <xdr:to>
      <xdr:col>2</xdr:col>
      <xdr:colOff>600075</xdr:colOff>
      <xdr:row>71</xdr:row>
      <xdr:rowOff>28575</xdr:rowOff>
    </xdr:to>
    <xdr:sp macro="" textlink="">
      <xdr:nvSpPr>
        <xdr:cNvPr id="11638" name="Line 80">
          <a:extLst>
            <a:ext uri="{FF2B5EF4-FFF2-40B4-BE49-F238E27FC236}">
              <a16:creationId xmlns:a16="http://schemas.microsoft.com/office/drawing/2014/main" id="{00000000-0008-0000-0000-0000762D0000}"/>
            </a:ext>
          </a:extLst>
        </xdr:cNvPr>
        <xdr:cNvSpPr>
          <a:spLocks noChangeShapeType="1"/>
        </xdr:cNvSpPr>
      </xdr:nvSpPr>
      <xdr:spPr bwMode="auto">
        <a:xfrm flipV="1">
          <a:off x="3371850" y="11125200"/>
          <a:ext cx="0" cy="7429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600075</xdr:colOff>
      <xdr:row>77</xdr:row>
      <xdr:rowOff>0</xdr:rowOff>
    </xdr:from>
    <xdr:to>
      <xdr:col>4</xdr:col>
      <xdr:colOff>180975</xdr:colOff>
      <xdr:row>77</xdr:row>
      <xdr:rowOff>9525</xdr:rowOff>
    </xdr:to>
    <xdr:sp macro="" textlink="">
      <xdr:nvSpPr>
        <xdr:cNvPr id="11639" name="Line 81">
          <a:extLst>
            <a:ext uri="{FF2B5EF4-FFF2-40B4-BE49-F238E27FC236}">
              <a16:creationId xmlns:a16="http://schemas.microsoft.com/office/drawing/2014/main" id="{00000000-0008-0000-0000-0000772D0000}"/>
            </a:ext>
          </a:extLst>
        </xdr:cNvPr>
        <xdr:cNvSpPr>
          <a:spLocks noChangeShapeType="1"/>
        </xdr:cNvSpPr>
      </xdr:nvSpPr>
      <xdr:spPr bwMode="auto">
        <a:xfrm flipV="1">
          <a:off x="3371850" y="12811125"/>
          <a:ext cx="1438275" cy="95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609600</xdr:colOff>
      <xdr:row>70</xdr:row>
      <xdr:rowOff>142875</xdr:rowOff>
    </xdr:from>
    <xdr:to>
      <xdr:col>4</xdr:col>
      <xdr:colOff>180975</xdr:colOff>
      <xdr:row>70</xdr:row>
      <xdr:rowOff>152400</xdr:rowOff>
    </xdr:to>
    <xdr:sp macro="" textlink="">
      <xdr:nvSpPr>
        <xdr:cNvPr id="11640" name="Line 82">
          <a:extLst>
            <a:ext uri="{FF2B5EF4-FFF2-40B4-BE49-F238E27FC236}">
              <a16:creationId xmlns:a16="http://schemas.microsoft.com/office/drawing/2014/main" id="{00000000-0008-0000-0000-0000782D0000}"/>
            </a:ext>
          </a:extLst>
        </xdr:cNvPr>
        <xdr:cNvSpPr>
          <a:spLocks noChangeShapeType="1"/>
        </xdr:cNvSpPr>
      </xdr:nvSpPr>
      <xdr:spPr bwMode="auto">
        <a:xfrm>
          <a:off x="3381375" y="11820525"/>
          <a:ext cx="1428750" cy="95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819150</xdr:colOff>
      <xdr:row>70</xdr:row>
      <xdr:rowOff>142875</xdr:rowOff>
    </xdr:from>
    <xdr:to>
      <xdr:col>2</xdr:col>
      <xdr:colOff>819150</xdr:colOff>
      <xdr:row>77</xdr:row>
      <xdr:rowOff>9525</xdr:rowOff>
    </xdr:to>
    <xdr:sp macro="" textlink="">
      <xdr:nvSpPr>
        <xdr:cNvPr id="11641" name="Line 83">
          <a:extLst>
            <a:ext uri="{FF2B5EF4-FFF2-40B4-BE49-F238E27FC236}">
              <a16:creationId xmlns:a16="http://schemas.microsoft.com/office/drawing/2014/main" id="{00000000-0008-0000-0000-0000792D0000}"/>
            </a:ext>
          </a:extLst>
        </xdr:cNvPr>
        <xdr:cNvSpPr>
          <a:spLocks noChangeShapeType="1"/>
        </xdr:cNvSpPr>
      </xdr:nvSpPr>
      <xdr:spPr bwMode="auto">
        <a:xfrm flipV="1">
          <a:off x="3590925" y="11820525"/>
          <a:ext cx="0" cy="1000125"/>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956310</xdr:colOff>
      <xdr:row>66</xdr:row>
      <xdr:rowOff>68580</xdr:rowOff>
    </xdr:from>
    <xdr:to>
      <xdr:col>1</xdr:col>
      <xdr:colOff>1893792</xdr:colOff>
      <xdr:row>67</xdr:row>
      <xdr:rowOff>106680</xdr:rowOff>
    </xdr:to>
    <xdr:sp macro="" textlink="">
      <xdr:nvSpPr>
        <xdr:cNvPr id="4180" name="Text Box 84">
          <a:extLst>
            <a:ext uri="{FF2B5EF4-FFF2-40B4-BE49-F238E27FC236}">
              <a16:creationId xmlns:a16="http://schemas.microsoft.com/office/drawing/2014/main" id="{00000000-0008-0000-0000-000054100000}"/>
            </a:ext>
          </a:extLst>
        </xdr:cNvPr>
        <xdr:cNvSpPr txBox="1">
          <a:spLocks noChangeArrowheads="1"/>
        </xdr:cNvSpPr>
      </xdr:nvSpPr>
      <xdr:spPr bwMode="auto">
        <a:xfrm>
          <a:off x="1760220" y="11361420"/>
          <a:ext cx="975360" cy="205740"/>
        </a:xfrm>
        <a:prstGeom prst="rect">
          <a:avLst/>
        </a:prstGeom>
        <a:noFill/>
        <a:ln w="9525">
          <a:noFill/>
          <a:miter lim="800000"/>
          <a:headEnd/>
          <a:tailEnd/>
        </a:ln>
      </xdr:spPr>
      <xdr:txBody>
        <a:bodyPr vertOverflow="clip" wrap="square" lIns="36576" tIns="27432" rIns="0" bIns="0" anchor="t" upright="1"/>
        <a:lstStyle/>
        <a:p>
          <a:pPr algn="l" rtl="0">
            <a:defRPr sz="1000"/>
          </a:pPr>
          <a:r>
            <a:rPr lang="nb-NO" sz="1000" b="0" i="0" u="none" strike="noStrike" baseline="0">
              <a:solidFill>
                <a:srgbClr val="000000"/>
              </a:solidFill>
              <a:latin typeface="Arial"/>
              <a:cs typeface="Arial"/>
            </a:rPr>
            <a:t>Byggets bredde</a:t>
          </a:r>
        </a:p>
      </xdr:txBody>
    </xdr:sp>
    <xdr:clientData/>
  </xdr:twoCellAnchor>
  <xdr:twoCellAnchor>
    <xdr:from>
      <xdr:col>2</xdr:col>
      <xdr:colOff>885825</xdr:colOff>
      <xdr:row>73</xdr:row>
      <xdr:rowOff>7620</xdr:rowOff>
    </xdr:from>
    <xdr:to>
      <xdr:col>3</xdr:col>
      <xdr:colOff>697250</xdr:colOff>
      <xdr:row>74</xdr:row>
      <xdr:rowOff>45720</xdr:rowOff>
    </xdr:to>
    <xdr:sp macro="" textlink="">
      <xdr:nvSpPr>
        <xdr:cNvPr id="4181" name="Text Box 85">
          <a:extLst>
            <a:ext uri="{FF2B5EF4-FFF2-40B4-BE49-F238E27FC236}">
              <a16:creationId xmlns:a16="http://schemas.microsoft.com/office/drawing/2014/main" id="{00000000-0008-0000-0000-000055100000}"/>
            </a:ext>
          </a:extLst>
        </xdr:cNvPr>
        <xdr:cNvSpPr txBox="1">
          <a:spLocks noChangeArrowheads="1"/>
        </xdr:cNvSpPr>
      </xdr:nvSpPr>
      <xdr:spPr bwMode="auto">
        <a:xfrm>
          <a:off x="3764280" y="12473940"/>
          <a:ext cx="929640" cy="205740"/>
        </a:xfrm>
        <a:prstGeom prst="rect">
          <a:avLst/>
        </a:prstGeom>
        <a:noFill/>
        <a:ln w="9525">
          <a:noFill/>
          <a:miter lim="800000"/>
          <a:headEnd/>
          <a:tailEnd/>
        </a:ln>
      </xdr:spPr>
      <xdr:txBody>
        <a:bodyPr vertOverflow="clip" wrap="square" lIns="36576" tIns="27432" rIns="0" bIns="0" anchor="t" upright="1"/>
        <a:lstStyle/>
        <a:p>
          <a:pPr algn="l" rtl="0">
            <a:defRPr sz="1000"/>
          </a:pPr>
          <a:r>
            <a:rPr lang="nb-NO" sz="1000" b="0" i="0" u="none" strike="noStrike" baseline="0">
              <a:solidFill>
                <a:srgbClr val="000000"/>
              </a:solidFill>
              <a:latin typeface="Arial"/>
              <a:cs typeface="Arial"/>
            </a:rPr>
            <a:t>Byggets høyde</a:t>
          </a:r>
        </a:p>
      </xdr:txBody>
    </xdr:sp>
    <xdr:clientData/>
  </xdr:twoCellAnchor>
  <xdr:twoCellAnchor>
    <xdr:from>
      <xdr:col>4</xdr:col>
      <xdr:colOff>219075</xdr:colOff>
      <xdr:row>70</xdr:row>
      <xdr:rowOff>152400</xdr:rowOff>
    </xdr:from>
    <xdr:to>
      <xdr:col>5</xdr:col>
      <xdr:colOff>762000</xdr:colOff>
      <xdr:row>77</xdr:row>
      <xdr:rowOff>9525</xdr:rowOff>
    </xdr:to>
    <xdr:sp macro="" textlink="">
      <xdr:nvSpPr>
        <xdr:cNvPr id="11644" name="Rectangle 86">
          <a:extLst>
            <a:ext uri="{FF2B5EF4-FFF2-40B4-BE49-F238E27FC236}">
              <a16:creationId xmlns:a16="http://schemas.microsoft.com/office/drawing/2014/main" id="{00000000-0008-0000-0000-00007C2D0000}"/>
            </a:ext>
          </a:extLst>
        </xdr:cNvPr>
        <xdr:cNvSpPr>
          <a:spLocks noChangeArrowheads="1"/>
        </xdr:cNvSpPr>
      </xdr:nvSpPr>
      <xdr:spPr bwMode="auto">
        <a:xfrm>
          <a:off x="4848225" y="11830050"/>
          <a:ext cx="1314450" cy="990600"/>
        </a:xfrm>
        <a:prstGeom prst="rect">
          <a:avLst/>
        </a:prstGeom>
        <a:solidFill>
          <a:srgbClr val="FFFFFF"/>
        </a:solidFill>
        <a:ln w="25400">
          <a:solidFill>
            <a:srgbClr val="0000FF"/>
          </a:solidFill>
          <a:miter lim="800000"/>
          <a:headEnd/>
          <a:tailEnd/>
        </a:ln>
      </xdr:spPr>
    </xdr:sp>
    <xdr:clientData/>
  </xdr:twoCellAnchor>
  <xdr:twoCellAnchor>
    <xdr:from>
      <xdr:col>4</xdr:col>
      <xdr:colOff>209550</xdr:colOff>
      <xdr:row>67</xdr:row>
      <xdr:rowOff>85725</xdr:rowOff>
    </xdr:from>
    <xdr:to>
      <xdr:col>5</xdr:col>
      <xdr:colOff>752475</xdr:colOff>
      <xdr:row>67</xdr:row>
      <xdr:rowOff>85725</xdr:rowOff>
    </xdr:to>
    <xdr:sp macro="" textlink="">
      <xdr:nvSpPr>
        <xdr:cNvPr id="11645" name="Line 87">
          <a:extLst>
            <a:ext uri="{FF2B5EF4-FFF2-40B4-BE49-F238E27FC236}">
              <a16:creationId xmlns:a16="http://schemas.microsoft.com/office/drawing/2014/main" id="{00000000-0008-0000-0000-00007D2D0000}"/>
            </a:ext>
          </a:extLst>
        </xdr:cNvPr>
        <xdr:cNvSpPr>
          <a:spLocks noChangeShapeType="1"/>
        </xdr:cNvSpPr>
      </xdr:nvSpPr>
      <xdr:spPr bwMode="auto">
        <a:xfrm>
          <a:off x="4838700" y="11277600"/>
          <a:ext cx="13144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200025</xdr:colOff>
      <xdr:row>66</xdr:row>
      <xdr:rowOff>76200</xdr:rowOff>
    </xdr:from>
    <xdr:to>
      <xdr:col>4</xdr:col>
      <xdr:colOff>209550</xdr:colOff>
      <xdr:row>70</xdr:row>
      <xdr:rowOff>152400</xdr:rowOff>
    </xdr:to>
    <xdr:sp macro="" textlink="">
      <xdr:nvSpPr>
        <xdr:cNvPr id="11646" name="Line 88">
          <a:extLst>
            <a:ext uri="{FF2B5EF4-FFF2-40B4-BE49-F238E27FC236}">
              <a16:creationId xmlns:a16="http://schemas.microsoft.com/office/drawing/2014/main" id="{00000000-0008-0000-0000-00007E2D0000}"/>
            </a:ext>
          </a:extLst>
        </xdr:cNvPr>
        <xdr:cNvSpPr>
          <a:spLocks noChangeShapeType="1"/>
        </xdr:cNvSpPr>
      </xdr:nvSpPr>
      <xdr:spPr bwMode="auto">
        <a:xfrm flipH="1" flipV="1">
          <a:off x="4829175" y="11106150"/>
          <a:ext cx="9525" cy="72390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762000</xdr:colOff>
      <xdr:row>66</xdr:row>
      <xdr:rowOff>114300</xdr:rowOff>
    </xdr:from>
    <xdr:to>
      <xdr:col>5</xdr:col>
      <xdr:colOff>762000</xdr:colOff>
      <xdr:row>70</xdr:row>
      <xdr:rowOff>95250</xdr:rowOff>
    </xdr:to>
    <xdr:sp macro="" textlink="">
      <xdr:nvSpPr>
        <xdr:cNvPr id="11647" name="Line 89">
          <a:extLst>
            <a:ext uri="{FF2B5EF4-FFF2-40B4-BE49-F238E27FC236}">
              <a16:creationId xmlns:a16="http://schemas.microsoft.com/office/drawing/2014/main" id="{00000000-0008-0000-0000-00007F2D0000}"/>
            </a:ext>
          </a:extLst>
        </xdr:cNvPr>
        <xdr:cNvSpPr>
          <a:spLocks noChangeShapeType="1"/>
        </xdr:cNvSpPr>
      </xdr:nvSpPr>
      <xdr:spPr bwMode="auto">
        <a:xfrm flipV="1">
          <a:off x="6162675" y="11144250"/>
          <a:ext cx="0" cy="6286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440055</xdr:colOff>
      <xdr:row>66</xdr:row>
      <xdr:rowOff>7620</xdr:rowOff>
    </xdr:from>
    <xdr:to>
      <xdr:col>5</xdr:col>
      <xdr:colOff>605847</xdr:colOff>
      <xdr:row>67</xdr:row>
      <xdr:rowOff>45720</xdr:rowOff>
    </xdr:to>
    <xdr:sp macro="" textlink="">
      <xdr:nvSpPr>
        <xdr:cNvPr id="4189" name="Text Box 93">
          <a:extLst>
            <a:ext uri="{FF2B5EF4-FFF2-40B4-BE49-F238E27FC236}">
              <a16:creationId xmlns:a16="http://schemas.microsoft.com/office/drawing/2014/main" id="{00000000-0008-0000-0000-00005D100000}"/>
            </a:ext>
          </a:extLst>
        </xdr:cNvPr>
        <xdr:cNvSpPr txBox="1">
          <a:spLocks noChangeArrowheads="1"/>
        </xdr:cNvSpPr>
      </xdr:nvSpPr>
      <xdr:spPr bwMode="auto">
        <a:xfrm>
          <a:off x="5212080" y="11300460"/>
          <a:ext cx="967740" cy="205740"/>
        </a:xfrm>
        <a:prstGeom prst="rect">
          <a:avLst/>
        </a:prstGeom>
        <a:noFill/>
        <a:ln w="9525">
          <a:noFill/>
          <a:miter lim="800000"/>
          <a:headEnd/>
          <a:tailEnd/>
        </a:ln>
      </xdr:spPr>
      <xdr:txBody>
        <a:bodyPr vertOverflow="clip" wrap="square" lIns="36576" tIns="27432" rIns="0" bIns="0" anchor="t" upright="1"/>
        <a:lstStyle/>
        <a:p>
          <a:pPr algn="l" rtl="0">
            <a:defRPr sz="1000"/>
          </a:pPr>
          <a:r>
            <a:rPr lang="nb-NO" sz="1000" b="0" i="0" u="none" strike="noStrike" baseline="0">
              <a:solidFill>
                <a:srgbClr val="000000"/>
              </a:solidFill>
              <a:latin typeface="Arial"/>
              <a:cs typeface="Arial"/>
            </a:rPr>
            <a:t>Byggets dybde</a:t>
          </a:r>
        </a:p>
      </xdr:txBody>
    </xdr:sp>
    <xdr:clientData/>
  </xdr:twoCellAnchor>
  <xdr:twoCellAnchor>
    <xdr:from>
      <xdr:col>1</xdr:col>
      <xdr:colOff>133350</xdr:colOff>
      <xdr:row>69</xdr:row>
      <xdr:rowOff>19050</xdr:rowOff>
    </xdr:from>
    <xdr:to>
      <xdr:col>2</xdr:col>
      <xdr:colOff>600075</xdr:colOff>
      <xdr:row>69</xdr:row>
      <xdr:rowOff>19050</xdr:rowOff>
    </xdr:to>
    <xdr:sp macro="" textlink="">
      <xdr:nvSpPr>
        <xdr:cNvPr id="11649" name="Line 95">
          <a:extLst>
            <a:ext uri="{FF2B5EF4-FFF2-40B4-BE49-F238E27FC236}">
              <a16:creationId xmlns:a16="http://schemas.microsoft.com/office/drawing/2014/main" id="{00000000-0008-0000-0000-0000812D0000}"/>
            </a:ext>
          </a:extLst>
        </xdr:cNvPr>
        <xdr:cNvSpPr>
          <a:spLocks noChangeShapeType="1"/>
        </xdr:cNvSpPr>
      </xdr:nvSpPr>
      <xdr:spPr bwMode="auto">
        <a:xfrm>
          <a:off x="895350" y="11534775"/>
          <a:ext cx="2476500" cy="0"/>
        </a:xfrm>
        <a:prstGeom prst="line">
          <a:avLst/>
        </a:prstGeom>
        <a:noFill/>
        <a:ln w="25400">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609600</xdr:colOff>
      <xdr:row>69</xdr:row>
      <xdr:rowOff>0</xdr:rowOff>
    </xdr:from>
    <xdr:to>
      <xdr:col>5</xdr:col>
      <xdr:colOff>57150</xdr:colOff>
      <xdr:row>69</xdr:row>
      <xdr:rowOff>9525</xdr:rowOff>
    </xdr:to>
    <xdr:sp macro="" textlink="">
      <xdr:nvSpPr>
        <xdr:cNvPr id="11650" name="Line 96">
          <a:extLst>
            <a:ext uri="{FF2B5EF4-FFF2-40B4-BE49-F238E27FC236}">
              <a16:creationId xmlns:a16="http://schemas.microsoft.com/office/drawing/2014/main" id="{00000000-0008-0000-0000-0000822D0000}"/>
            </a:ext>
          </a:extLst>
        </xdr:cNvPr>
        <xdr:cNvSpPr>
          <a:spLocks noChangeShapeType="1"/>
        </xdr:cNvSpPr>
      </xdr:nvSpPr>
      <xdr:spPr bwMode="auto">
        <a:xfrm flipV="1">
          <a:off x="3381375" y="11515725"/>
          <a:ext cx="2076450" cy="95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819150</xdr:colOff>
      <xdr:row>69</xdr:row>
      <xdr:rowOff>9525</xdr:rowOff>
    </xdr:from>
    <xdr:to>
      <xdr:col>2</xdr:col>
      <xdr:colOff>819150</xdr:colOff>
      <xdr:row>70</xdr:row>
      <xdr:rowOff>142875</xdr:rowOff>
    </xdr:to>
    <xdr:sp macro="" textlink="">
      <xdr:nvSpPr>
        <xdr:cNvPr id="11651" name="Line 97">
          <a:extLst>
            <a:ext uri="{FF2B5EF4-FFF2-40B4-BE49-F238E27FC236}">
              <a16:creationId xmlns:a16="http://schemas.microsoft.com/office/drawing/2014/main" id="{00000000-0008-0000-0000-0000832D0000}"/>
            </a:ext>
          </a:extLst>
        </xdr:cNvPr>
        <xdr:cNvSpPr>
          <a:spLocks noChangeShapeType="1"/>
        </xdr:cNvSpPr>
      </xdr:nvSpPr>
      <xdr:spPr bwMode="auto">
        <a:xfrm flipV="1">
          <a:off x="3590925" y="11525250"/>
          <a:ext cx="0" cy="295275"/>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1038225</xdr:colOff>
      <xdr:row>69</xdr:row>
      <xdr:rowOff>68580</xdr:rowOff>
    </xdr:from>
    <xdr:to>
      <xdr:col>3</xdr:col>
      <xdr:colOff>666750</xdr:colOff>
      <xdr:row>70</xdr:row>
      <xdr:rowOff>112561</xdr:rowOff>
    </xdr:to>
    <xdr:sp macro="" textlink="">
      <xdr:nvSpPr>
        <xdr:cNvPr id="4194" name="Text Box 98">
          <a:extLst>
            <a:ext uri="{FF2B5EF4-FFF2-40B4-BE49-F238E27FC236}">
              <a16:creationId xmlns:a16="http://schemas.microsoft.com/office/drawing/2014/main" id="{00000000-0008-0000-0000-000062100000}"/>
            </a:ext>
          </a:extLst>
        </xdr:cNvPr>
        <xdr:cNvSpPr txBox="1">
          <a:spLocks noChangeArrowheads="1"/>
        </xdr:cNvSpPr>
      </xdr:nvSpPr>
      <xdr:spPr bwMode="auto">
        <a:xfrm>
          <a:off x="3916680" y="11864340"/>
          <a:ext cx="746760" cy="220980"/>
        </a:xfrm>
        <a:prstGeom prst="rect">
          <a:avLst/>
        </a:prstGeom>
        <a:noFill/>
        <a:ln w="9525">
          <a:noFill/>
          <a:miter lim="800000"/>
          <a:headEnd/>
          <a:tailEnd/>
        </a:ln>
      </xdr:spPr>
      <xdr:txBody>
        <a:bodyPr vertOverflow="clip" wrap="square" lIns="36576" tIns="27432" rIns="0" bIns="0" anchor="t" upright="1"/>
        <a:lstStyle/>
        <a:p>
          <a:pPr algn="l" rtl="0">
            <a:defRPr sz="1000"/>
          </a:pPr>
          <a:r>
            <a:rPr lang="nb-NO" sz="1000" b="0" i="0" u="none" strike="noStrike" baseline="0">
              <a:solidFill>
                <a:srgbClr val="000000"/>
              </a:solidFill>
              <a:latin typeface="Arial"/>
              <a:cs typeface="Arial"/>
            </a:rPr>
            <a:t>Takhøyde</a:t>
          </a:r>
        </a:p>
      </xdr:txBody>
    </xdr:sp>
    <xdr:clientData/>
  </xdr:twoCellAnchor>
  <xdr:twoCellAnchor>
    <xdr:from>
      <xdr:col>1</xdr:col>
      <xdr:colOff>142875</xdr:colOff>
      <xdr:row>69</xdr:row>
      <xdr:rowOff>19050</xdr:rowOff>
    </xdr:from>
    <xdr:to>
      <xdr:col>1</xdr:col>
      <xdr:colOff>142875</xdr:colOff>
      <xdr:row>70</xdr:row>
      <xdr:rowOff>142875</xdr:rowOff>
    </xdr:to>
    <xdr:sp macro="" textlink="">
      <xdr:nvSpPr>
        <xdr:cNvPr id="11653" name="Line 100">
          <a:extLst>
            <a:ext uri="{FF2B5EF4-FFF2-40B4-BE49-F238E27FC236}">
              <a16:creationId xmlns:a16="http://schemas.microsoft.com/office/drawing/2014/main" id="{00000000-0008-0000-0000-0000852D0000}"/>
            </a:ext>
          </a:extLst>
        </xdr:cNvPr>
        <xdr:cNvSpPr>
          <a:spLocks noChangeShapeType="1"/>
        </xdr:cNvSpPr>
      </xdr:nvSpPr>
      <xdr:spPr bwMode="auto">
        <a:xfrm flipV="1">
          <a:off x="904875" y="11534775"/>
          <a:ext cx="0" cy="285750"/>
        </a:xfrm>
        <a:prstGeom prst="line">
          <a:avLst/>
        </a:prstGeom>
        <a:noFill/>
        <a:ln w="25400">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600075</xdr:colOff>
      <xdr:row>69</xdr:row>
      <xdr:rowOff>9525</xdr:rowOff>
    </xdr:from>
    <xdr:to>
      <xdr:col>2</xdr:col>
      <xdr:colOff>600075</xdr:colOff>
      <xdr:row>70</xdr:row>
      <xdr:rowOff>133350</xdr:rowOff>
    </xdr:to>
    <xdr:sp macro="" textlink="">
      <xdr:nvSpPr>
        <xdr:cNvPr id="11654" name="Line 196">
          <a:extLst>
            <a:ext uri="{FF2B5EF4-FFF2-40B4-BE49-F238E27FC236}">
              <a16:creationId xmlns:a16="http://schemas.microsoft.com/office/drawing/2014/main" id="{00000000-0008-0000-0000-0000862D0000}"/>
            </a:ext>
          </a:extLst>
        </xdr:cNvPr>
        <xdr:cNvSpPr>
          <a:spLocks noChangeShapeType="1"/>
        </xdr:cNvSpPr>
      </xdr:nvSpPr>
      <xdr:spPr bwMode="auto">
        <a:xfrm flipV="1">
          <a:off x="3371850" y="11525250"/>
          <a:ext cx="0" cy="285750"/>
        </a:xfrm>
        <a:prstGeom prst="line">
          <a:avLst/>
        </a:prstGeom>
        <a:noFill/>
        <a:ln w="25400">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371475</xdr:colOff>
      <xdr:row>67</xdr:row>
      <xdr:rowOff>85725</xdr:rowOff>
    </xdr:from>
    <xdr:to>
      <xdr:col>10</xdr:col>
      <xdr:colOff>561975</xdr:colOff>
      <xdr:row>67</xdr:row>
      <xdr:rowOff>85725</xdr:rowOff>
    </xdr:to>
    <xdr:sp macro="" textlink="">
      <xdr:nvSpPr>
        <xdr:cNvPr id="11655" name="Line 200">
          <a:extLst>
            <a:ext uri="{FF2B5EF4-FFF2-40B4-BE49-F238E27FC236}">
              <a16:creationId xmlns:a16="http://schemas.microsoft.com/office/drawing/2014/main" id="{00000000-0008-0000-0000-0000872D0000}"/>
            </a:ext>
          </a:extLst>
        </xdr:cNvPr>
        <xdr:cNvSpPr>
          <a:spLocks noChangeShapeType="1"/>
        </xdr:cNvSpPr>
      </xdr:nvSpPr>
      <xdr:spPr bwMode="auto">
        <a:xfrm>
          <a:off x="7639050" y="11277600"/>
          <a:ext cx="247650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371475</xdr:colOff>
      <xdr:row>66</xdr:row>
      <xdr:rowOff>76200</xdr:rowOff>
    </xdr:from>
    <xdr:to>
      <xdr:col>7</xdr:col>
      <xdr:colOff>371475</xdr:colOff>
      <xdr:row>69</xdr:row>
      <xdr:rowOff>19050</xdr:rowOff>
    </xdr:to>
    <xdr:sp macro="" textlink="">
      <xdr:nvSpPr>
        <xdr:cNvPr id="11656" name="Line 201">
          <a:extLst>
            <a:ext uri="{FF2B5EF4-FFF2-40B4-BE49-F238E27FC236}">
              <a16:creationId xmlns:a16="http://schemas.microsoft.com/office/drawing/2014/main" id="{00000000-0008-0000-0000-0000882D0000}"/>
            </a:ext>
          </a:extLst>
        </xdr:cNvPr>
        <xdr:cNvSpPr>
          <a:spLocks noChangeShapeType="1"/>
        </xdr:cNvSpPr>
      </xdr:nvSpPr>
      <xdr:spPr bwMode="auto">
        <a:xfrm flipV="1">
          <a:off x="7639050" y="11106150"/>
          <a:ext cx="0" cy="4286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552450</xdr:colOff>
      <xdr:row>66</xdr:row>
      <xdr:rowOff>76200</xdr:rowOff>
    </xdr:from>
    <xdr:to>
      <xdr:col>10</xdr:col>
      <xdr:colOff>552450</xdr:colOff>
      <xdr:row>69</xdr:row>
      <xdr:rowOff>19050</xdr:rowOff>
    </xdr:to>
    <xdr:sp macro="" textlink="">
      <xdr:nvSpPr>
        <xdr:cNvPr id="11657" name="Line 202">
          <a:extLst>
            <a:ext uri="{FF2B5EF4-FFF2-40B4-BE49-F238E27FC236}">
              <a16:creationId xmlns:a16="http://schemas.microsoft.com/office/drawing/2014/main" id="{00000000-0008-0000-0000-0000892D0000}"/>
            </a:ext>
          </a:extLst>
        </xdr:cNvPr>
        <xdr:cNvSpPr>
          <a:spLocks noChangeShapeType="1"/>
        </xdr:cNvSpPr>
      </xdr:nvSpPr>
      <xdr:spPr bwMode="auto">
        <a:xfrm flipV="1">
          <a:off x="10106025" y="11106150"/>
          <a:ext cx="0" cy="4286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561975</xdr:colOff>
      <xdr:row>68</xdr:row>
      <xdr:rowOff>133350</xdr:rowOff>
    </xdr:from>
    <xdr:to>
      <xdr:col>11</xdr:col>
      <xdr:colOff>228600</xdr:colOff>
      <xdr:row>68</xdr:row>
      <xdr:rowOff>133350</xdr:rowOff>
    </xdr:to>
    <xdr:sp macro="" textlink="">
      <xdr:nvSpPr>
        <xdr:cNvPr id="11658" name="Line 203">
          <a:extLst>
            <a:ext uri="{FF2B5EF4-FFF2-40B4-BE49-F238E27FC236}">
              <a16:creationId xmlns:a16="http://schemas.microsoft.com/office/drawing/2014/main" id="{00000000-0008-0000-0000-00008A2D0000}"/>
            </a:ext>
          </a:extLst>
        </xdr:cNvPr>
        <xdr:cNvSpPr>
          <a:spLocks noChangeShapeType="1"/>
        </xdr:cNvSpPr>
      </xdr:nvSpPr>
      <xdr:spPr bwMode="auto">
        <a:xfrm>
          <a:off x="10115550" y="11487150"/>
          <a:ext cx="4286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9525</xdr:colOff>
      <xdr:row>68</xdr:row>
      <xdr:rowOff>142875</xdr:rowOff>
    </xdr:from>
    <xdr:to>
      <xdr:col>11</xdr:col>
      <xdr:colOff>9525</xdr:colOff>
      <xdr:row>77</xdr:row>
      <xdr:rowOff>0</xdr:rowOff>
    </xdr:to>
    <xdr:sp macro="" textlink="">
      <xdr:nvSpPr>
        <xdr:cNvPr id="11659" name="Line 204">
          <a:extLst>
            <a:ext uri="{FF2B5EF4-FFF2-40B4-BE49-F238E27FC236}">
              <a16:creationId xmlns:a16="http://schemas.microsoft.com/office/drawing/2014/main" id="{00000000-0008-0000-0000-00008B2D0000}"/>
            </a:ext>
          </a:extLst>
        </xdr:cNvPr>
        <xdr:cNvSpPr>
          <a:spLocks noChangeShapeType="1"/>
        </xdr:cNvSpPr>
      </xdr:nvSpPr>
      <xdr:spPr bwMode="auto">
        <a:xfrm flipV="1">
          <a:off x="10325100" y="11496675"/>
          <a:ext cx="0" cy="13144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415290</xdr:colOff>
      <xdr:row>65</xdr:row>
      <xdr:rowOff>150495</xdr:rowOff>
    </xdr:from>
    <xdr:to>
      <xdr:col>9</xdr:col>
      <xdr:colOff>598170</xdr:colOff>
      <xdr:row>67</xdr:row>
      <xdr:rowOff>30671</xdr:rowOff>
    </xdr:to>
    <xdr:sp macro="" textlink="">
      <xdr:nvSpPr>
        <xdr:cNvPr id="4301" name="Text Box 205">
          <a:extLst>
            <a:ext uri="{FF2B5EF4-FFF2-40B4-BE49-F238E27FC236}">
              <a16:creationId xmlns:a16="http://schemas.microsoft.com/office/drawing/2014/main" id="{00000000-0008-0000-0000-0000CD100000}"/>
            </a:ext>
          </a:extLst>
        </xdr:cNvPr>
        <xdr:cNvSpPr txBox="1">
          <a:spLocks noChangeArrowheads="1"/>
        </xdr:cNvSpPr>
      </xdr:nvSpPr>
      <xdr:spPr bwMode="auto">
        <a:xfrm>
          <a:off x="8694420" y="11285220"/>
          <a:ext cx="967740" cy="205740"/>
        </a:xfrm>
        <a:prstGeom prst="rect">
          <a:avLst/>
        </a:prstGeom>
        <a:noFill/>
        <a:ln w="9525">
          <a:noFill/>
          <a:miter lim="800000"/>
          <a:headEnd/>
          <a:tailEnd/>
        </a:ln>
      </xdr:spPr>
      <xdr:txBody>
        <a:bodyPr vertOverflow="clip" wrap="square" lIns="36576" tIns="27432" rIns="0" bIns="0" anchor="t" upright="1"/>
        <a:lstStyle/>
        <a:p>
          <a:pPr algn="l" rtl="0">
            <a:defRPr sz="1000"/>
          </a:pPr>
          <a:r>
            <a:rPr lang="nb-NO" sz="1000" b="0" i="0" u="none" strike="noStrike" baseline="0">
              <a:solidFill>
                <a:srgbClr val="000000"/>
              </a:solidFill>
              <a:latin typeface="Arial"/>
              <a:cs typeface="Arial"/>
            </a:rPr>
            <a:t>Byggets bredde</a:t>
          </a:r>
        </a:p>
      </xdr:txBody>
    </xdr:sp>
    <xdr:clientData/>
  </xdr:twoCellAnchor>
  <xdr:twoCellAnchor>
    <xdr:from>
      <xdr:col>11</xdr:col>
      <xdr:colOff>114300</xdr:colOff>
      <xdr:row>72</xdr:row>
      <xdr:rowOff>144780</xdr:rowOff>
    </xdr:from>
    <xdr:to>
      <xdr:col>12</xdr:col>
      <xdr:colOff>257175</xdr:colOff>
      <xdr:row>74</xdr:row>
      <xdr:rowOff>22860</xdr:rowOff>
    </xdr:to>
    <xdr:sp macro="" textlink="">
      <xdr:nvSpPr>
        <xdr:cNvPr id="4302" name="Text Box 206">
          <a:extLst>
            <a:ext uri="{FF2B5EF4-FFF2-40B4-BE49-F238E27FC236}">
              <a16:creationId xmlns:a16="http://schemas.microsoft.com/office/drawing/2014/main" id="{00000000-0008-0000-0000-0000CE100000}"/>
            </a:ext>
          </a:extLst>
        </xdr:cNvPr>
        <xdr:cNvSpPr txBox="1">
          <a:spLocks noChangeArrowheads="1"/>
        </xdr:cNvSpPr>
      </xdr:nvSpPr>
      <xdr:spPr bwMode="auto">
        <a:xfrm>
          <a:off x="10728960" y="12443460"/>
          <a:ext cx="937260" cy="213360"/>
        </a:xfrm>
        <a:prstGeom prst="rect">
          <a:avLst/>
        </a:prstGeom>
        <a:noFill/>
        <a:ln w="9525">
          <a:noFill/>
          <a:miter lim="800000"/>
          <a:headEnd/>
          <a:tailEnd/>
        </a:ln>
      </xdr:spPr>
      <xdr:txBody>
        <a:bodyPr vertOverflow="clip" wrap="square" lIns="36576" tIns="27432" rIns="0" bIns="0" anchor="t" upright="1"/>
        <a:lstStyle/>
        <a:p>
          <a:pPr algn="l" rtl="0">
            <a:defRPr sz="1000"/>
          </a:pPr>
          <a:r>
            <a:rPr lang="nb-NO" sz="1000" b="0" i="0" u="none" strike="noStrike" baseline="0">
              <a:solidFill>
                <a:srgbClr val="000000"/>
              </a:solidFill>
              <a:latin typeface="Arial"/>
              <a:cs typeface="Arial"/>
            </a:rPr>
            <a:t>Byggets dybde</a:t>
          </a:r>
        </a:p>
      </xdr:txBody>
    </xdr:sp>
    <xdr:clientData/>
  </xdr:twoCellAnchor>
  <xdr:twoCellAnchor>
    <xdr:from>
      <xdr:col>4</xdr:col>
      <xdr:colOff>219075</xdr:colOff>
      <xdr:row>69</xdr:row>
      <xdr:rowOff>9525</xdr:rowOff>
    </xdr:from>
    <xdr:to>
      <xdr:col>5</xdr:col>
      <xdr:colOff>85725</xdr:colOff>
      <xdr:row>70</xdr:row>
      <xdr:rowOff>152400</xdr:rowOff>
    </xdr:to>
    <xdr:sp macro="" textlink="">
      <xdr:nvSpPr>
        <xdr:cNvPr id="11662" name="Line 210">
          <a:extLst>
            <a:ext uri="{FF2B5EF4-FFF2-40B4-BE49-F238E27FC236}">
              <a16:creationId xmlns:a16="http://schemas.microsoft.com/office/drawing/2014/main" id="{00000000-0008-0000-0000-00008E2D0000}"/>
            </a:ext>
          </a:extLst>
        </xdr:cNvPr>
        <xdr:cNvSpPr>
          <a:spLocks noChangeShapeType="1"/>
        </xdr:cNvSpPr>
      </xdr:nvSpPr>
      <xdr:spPr bwMode="auto">
        <a:xfrm flipV="1">
          <a:off x="4848225" y="11525250"/>
          <a:ext cx="638175" cy="304800"/>
        </a:xfrm>
        <a:prstGeom prst="line">
          <a:avLst/>
        </a:prstGeom>
        <a:noFill/>
        <a:ln w="25400">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69</xdr:row>
      <xdr:rowOff>9525</xdr:rowOff>
    </xdr:from>
    <xdr:to>
      <xdr:col>6</xdr:col>
      <xdr:colOff>0</xdr:colOff>
      <xdr:row>70</xdr:row>
      <xdr:rowOff>152400</xdr:rowOff>
    </xdr:to>
    <xdr:sp macro="" textlink="">
      <xdr:nvSpPr>
        <xdr:cNvPr id="11663" name="Line 212">
          <a:extLst>
            <a:ext uri="{FF2B5EF4-FFF2-40B4-BE49-F238E27FC236}">
              <a16:creationId xmlns:a16="http://schemas.microsoft.com/office/drawing/2014/main" id="{00000000-0008-0000-0000-00008F2D0000}"/>
            </a:ext>
          </a:extLst>
        </xdr:cNvPr>
        <xdr:cNvSpPr>
          <a:spLocks noChangeShapeType="1"/>
        </xdr:cNvSpPr>
      </xdr:nvSpPr>
      <xdr:spPr bwMode="auto">
        <a:xfrm>
          <a:off x="5467350" y="11525250"/>
          <a:ext cx="704850" cy="304800"/>
        </a:xfrm>
        <a:prstGeom prst="line">
          <a:avLst/>
        </a:prstGeom>
        <a:noFill/>
        <a:ln w="25400">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9525</xdr:colOff>
      <xdr:row>70</xdr:row>
      <xdr:rowOff>133350</xdr:rowOff>
    </xdr:from>
    <xdr:to>
      <xdr:col>4</xdr:col>
      <xdr:colOff>9525</xdr:colOff>
      <xdr:row>77</xdr:row>
      <xdr:rowOff>0</xdr:rowOff>
    </xdr:to>
    <xdr:sp macro="" textlink="">
      <xdr:nvSpPr>
        <xdr:cNvPr id="11664" name="Line 213">
          <a:extLst>
            <a:ext uri="{FF2B5EF4-FFF2-40B4-BE49-F238E27FC236}">
              <a16:creationId xmlns:a16="http://schemas.microsoft.com/office/drawing/2014/main" id="{00000000-0008-0000-0000-0000902D0000}"/>
            </a:ext>
          </a:extLst>
        </xdr:cNvPr>
        <xdr:cNvSpPr>
          <a:spLocks noChangeShapeType="1"/>
        </xdr:cNvSpPr>
      </xdr:nvSpPr>
      <xdr:spPr bwMode="auto">
        <a:xfrm flipV="1">
          <a:off x="4638675" y="11811000"/>
          <a:ext cx="0" cy="1000125"/>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xdr:colOff>
      <xdr:row>69</xdr:row>
      <xdr:rowOff>0</xdr:rowOff>
    </xdr:from>
    <xdr:to>
      <xdr:col>4</xdr:col>
      <xdr:colOff>9525</xdr:colOff>
      <xdr:row>70</xdr:row>
      <xdr:rowOff>133350</xdr:rowOff>
    </xdr:to>
    <xdr:sp macro="" textlink="">
      <xdr:nvSpPr>
        <xdr:cNvPr id="11665" name="Line 214">
          <a:extLst>
            <a:ext uri="{FF2B5EF4-FFF2-40B4-BE49-F238E27FC236}">
              <a16:creationId xmlns:a16="http://schemas.microsoft.com/office/drawing/2014/main" id="{00000000-0008-0000-0000-0000912D0000}"/>
            </a:ext>
          </a:extLst>
        </xdr:cNvPr>
        <xdr:cNvSpPr>
          <a:spLocks noChangeShapeType="1"/>
        </xdr:cNvSpPr>
      </xdr:nvSpPr>
      <xdr:spPr bwMode="auto">
        <a:xfrm flipV="1">
          <a:off x="4638675" y="11515725"/>
          <a:ext cx="0" cy="295275"/>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552450</xdr:colOff>
      <xdr:row>77</xdr:row>
      <xdr:rowOff>9525</xdr:rowOff>
    </xdr:from>
    <xdr:to>
      <xdr:col>11</xdr:col>
      <xdr:colOff>219075</xdr:colOff>
      <xdr:row>77</xdr:row>
      <xdr:rowOff>9525</xdr:rowOff>
    </xdr:to>
    <xdr:sp macro="" textlink="">
      <xdr:nvSpPr>
        <xdr:cNvPr id="11666" name="Line 215">
          <a:extLst>
            <a:ext uri="{FF2B5EF4-FFF2-40B4-BE49-F238E27FC236}">
              <a16:creationId xmlns:a16="http://schemas.microsoft.com/office/drawing/2014/main" id="{00000000-0008-0000-0000-0000922D0000}"/>
            </a:ext>
          </a:extLst>
        </xdr:cNvPr>
        <xdr:cNvSpPr>
          <a:spLocks noChangeShapeType="1"/>
        </xdr:cNvSpPr>
      </xdr:nvSpPr>
      <xdr:spPr bwMode="auto">
        <a:xfrm>
          <a:off x="10106025" y="12820650"/>
          <a:ext cx="4286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381000</xdr:colOff>
      <xdr:row>71</xdr:row>
      <xdr:rowOff>85725</xdr:rowOff>
    </xdr:from>
    <xdr:to>
      <xdr:col>7</xdr:col>
      <xdr:colOff>600075</xdr:colOff>
      <xdr:row>71</xdr:row>
      <xdr:rowOff>85725</xdr:rowOff>
    </xdr:to>
    <xdr:sp macro="" textlink="">
      <xdr:nvSpPr>
        <xdr:cNvPr id="11667" name="Line 257">
          <a:extLst>
            <a:ext uri="{FF2B5EF4-FFF2-40B4-BE49-F238E27FC236}">
              <a16:creationId xmlns:a16="http://schemas.microsoft.com/office/drawing/2014/main" id="{00000000-0008-0000-0000-0000932D0000}"/>
            </a:ext>
          </a:extLst>
        </xdr:cNvPr>
        <xdr:cNvSpPr>
          <a:spLocks noChangeShapeType="1"/>
        </xdr:cNvSpPr>
      </xdr:nvSpPr>
      <xdr:spPr bwMode="auto">
        <a:xfrm>
          <a:off x="7648575" y="11925300"/>
          <a:ext cx="219075" cy="0"/>
        </a:xfrm>
        <a:prstGeom prst="line">
          <a:avLst/>
        </a:prstGeom>
        <a:noFill/>
        <a:ln w="12700">
          <a:solidFill>
            <a:srgbClr val="FF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323850</xdr:colOff>
      <xdr:row>71</xdr:row>
      <xdr:rowOff>85725</xdr:rowOff>
    </xdr:from>
    <xdr:to>
      <xdr:col>10</xdr:col>
      <xdr:colOff>542925</xdr:colOff>
      <xdr:row>71</xdr:row>
      <xdr:rowOff>85725</xdr:rowOff>
    </xdr:to>
    <xdr:sp macro="" textlink="">
      <xdr:nvSpPr>
        <xdr:cNvPr id="11668" name="Line 258">
          <a:extLst>
            <a:ext uri="{FF2B5EF4-FFF2-40B4-BE49-F238E27FC236}">
              <a16:creationId xmlns:a16="http://schemas.microsoft.com/office/drawing/2014/main" id="{00000000-0008-0000-0000-0000942D0000}"/>
            </a:ext>
          </a:extLst>
        </xdr:cNvPr>
        <xdr:cNvSpPr>
          <a:spLocks noChangeShapeType="1"/>
        </xdr:cNvSpPr>
      </xdr:nvSpPr>
      <xdr:spPr bwMode="auto">
        <a:xfrm>
          <a:off x="9877425" y="11925300"/>
          <a:ext cx="219075" cy="0"/>
        </a:xfrm>
        <a:prstGeom prst="line">
          <a:avLst/>
        </a:prstGeom>
        <a:noFill/>
        <a:ln w="12700">
          <a:solidFill>
            <a:srgbClr val="FF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381000</xdr:colOff>
      <xdr:row>74</xdr:row>
      <xdr:rowOff>57150</xdr:rowOff>
    </xdr:from>
    <xdr:to>
      <xdr:col>7</xdr:col>
      <xdr:colOff>600075</xdr:colOff>
      <xdr:row>74</xdr:row>
      <xdr:rowOff>57150</xdr:rowOff>
    </xdr:to>
    <xdr:sp macro="" textlink="">
      <xdr:nvSpPr>
        <xdr:cNvPr id="11669" name="Line 259">
          <a:extLst>
            <a:ext uri="{FF2B5EF4-FFF2-40B4-BE49-F238E27FC236}">
              <a16:creationId xmlns:a16="http://schemas.microsoft.com/office/drawing/2014/main" id="{00000000-0008-0000-0000-0000952D0000}"/>
            </a:ext>
          </a:extLst>
        </xdr:cNvPr>
        <xdr:cNvSpPr>
          <a:spLocks noChangeShapeType="1"/>
        </xdr:cNvSpPr>
      </xdr:nvSpPr>
      <xdr:spPr bwMode="auto">
        <a:xfrm>
          <a:off x="7648575" y="12382500"/>
          <a:ext cx="219075" cy="0"/>
        </a:xfrm>
        <a:prstGeom prst="line">
          <a:avLst/>
        </a:prstGeom>
        <a:noFill/>
        <a:ln w="12700">
          <a:solidFill>
            <a:srgbClr val="FF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323850</xdr:colOff>
      <xdr:row>74</xdr:row>
      <xdr:rowOff>57150</xdr:rowOff>
    </xdr:from>
    <xdr:to>
      <xdr:col>10</xdr:col>
      <xdr:colOff>542925</xdr:colOff>
      <xdr:row>74</xdr:row>
      <xdr:rowOff>57150</xdr:rowOff>
    </xdr:to>
    <xdr:sp macro="" textlink="">
      <xdr:nvSpPr>
        <xdr:cNvPr id="11670" name="Line 260">
          <a:extLst>
            <a:ext uri="{FF2B5EF4-FFF2-40B4-BE49-F238E27FC236}">
              <a16:creationId xmlns:a16="http://schemas.microsoft.com/office/drawing/2014/main" id="{00000000-0008-0000-0000-0000962D0000}"/>
            </a:ext>
          </a:extLst>
        </xdr:cNvPr>
        <xdr:cNvSpPr>
          <a:spLocks noChangeShapeType="1"/>
        </xdr:cNvSpPr>
      </xdr:nvSpPr>
      <xdr:spPr bwMode="auto">
        <a:xfrm>
          <a:off x="9877425" y="12382500"/>
          <a:ext cx="219075" cy="0"/>
        </a:xfrm>
        <a:prstGeom prst="line">
          <a:avLst/>
        </a:prstGeom>
        <a:noFill/>
        <a:ln w="12700">
          <a:solidFill>
            <a:srgbClr val="FF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114300</xdr:colOff>
      <xdr:row>68</xdr:row>
      <xdr:rowOff>142875</xdr:rowOff>
    </xdr:from>
    <xdr:to>
      <xdr:col>10</xdr:col>
      <xdr:colOff>114300</xdr:colOff>
      <xdr:row>70</xdr:row>
      <xdr:rowOff>38100</xdr:rowOff>
    </xdr:to>
    <xdr:sp macro="" textlink="">
      <xdr:nvSpPr>
        <xdr:cNvPr id="11671" name="Line 262">
          <a:extLst>
            <a:ext uri="{FF2B5EF4-FFF2-40B4-BE49-F238E27FC236}">
              <a16:creationId xmlns:a16="http://schemas.microsoft.com/office/drawing/2014/main" id="{00000000-0008-0000-0000-0000972D0000}"/>
            </a:ext>
          </a:extLst>
        </xdr:cNvPr>
        <xdr:cNvSpPr>
          <a:spLocks noChangeShapeType="1"/>
        </xdr:cNvSpPr>
      </xdr:nvSpPr>
      <xdr:spPr bwMode="auto">
        <a:xfrm rot="-5400000">
          <a:off x="9558337" y="11606213"/>
          <a:ext cx="219075" cy="0"/>
        </a:xfrm>
        <a:prstGeom prst="line">
          <a:avLst/>
        </a:prstGeom>
        <a:noFill/>
        <a:ln w="12700">
          <a:solidFill>
            <a:srgbClr val="FF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38100</xdr:colOff>
      <xdr:row>75</xdr:row>
      <xdr:rowOff>85725</xdr:rowOff>
    </xdr:from>
    <xdr:to>
      <xdr:col>8</xdr:col>
      <xdr:colOff>38100</xdr:colOff>
      <xdr:row>76</xdr:row>
      <xdr:rowOff>142875</xdr:rowOff>
    </xdr:to>
    <xdr:sp macro="" textlink="">
      <xdr:nvSpPr>
        <xdr:cNvPr id="11672" name="Line 263">
          <a:extLst>
            <a:ext uri="{FF2B5EF4-FFF2-40B4-BE49-F238E27FC236}">
              <a16:creationId xmlns:a16="http://schemas.microsoft.com/office/drawing/2014/main" id="{00000000-0008-0000-0000-0000982D0000}"/>
            </a:ext>
          </a:extLst>
        </xdr:cNvPr>
        <xdr:cNvSpPr>
          <a:spLocks noChangeShapeType="1"/>
        </xdr:cNvSpPr>
      </xdr:nvSpPr>
      <xdr:spPr bwMode="auto">
        <a:xfrm rot="-5400000">
          <a:off x="7958137" y="12682538"/>
          <a:ext cx="219075" cy="0"/>
        </a:xfrm>
        <a:prstGeom prst="line">
          <a:avLst/>
        </a:prstGeom>
        <a:noFill/>
        <a:ln w="12700">
          <a:solidFill>
            <a:srgbClr val="FF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361950</xdr:colOff>
      <xdr:row>73</xdr:row>
      <xdr:rowOff>0</xdr:rowOff>
    </xdr:from>
    <xdr:to>
      <xdr:col>10</xdr:col>
      <xdr:colOff>533400</xdr:colOff>
      <xdr:row>73</xdr:row>
      <xdr:rowOff>0</xdr:rowOff>
    </xdr:to>
    <xdr:sp macro="" textlink="">
      <xdr:nvSpPr>
        <xdr:cNvPr id="11673" name="Line 447">
          <a:extLst>
            <a:ext uri="{FF2B5EF4-FFF2-40B4-BE49-F238E27FC236}">
              <a16:creationId xmlns:a16="http://schemas.microsoft.com/office/drawing/2014/main" id="{00000000-0008-0000-0000-0000992D0000}"/>
            </a:ext>
          </a:extLst>
        </xdr:cNvPr>
        <xdr:cNvSpPr>
          <a:spLocks noChangeShapeType="1"/>
        </xdr:cNvSpPr>
      </xdr:nvSpPr>
      <xdr:spPr bwMode="auto">
        <a:xfrm flipH="1" flipV="1">
          <a:off x="7629525" y="12163425"/>
          <a:ext cx="2457450" cy="0"/>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114300</xdr:colOff>
      <xdr:row>75</xdr:row>
      <xdr:rowOff>95250</xdr:rowOff>
    </xdr:from>
    <xdr:to>
      <xdr:col>10</xdr:col>
      <xdr:colOff>114300</xdr:colOff>
      <xdr:row>76</xdr:row>
      <xdr:rowOff>152400</xdr:rowOff>
    </xdr:to>
    <xdr:sp macro="" textlink="">
      <xdr:nvSpPr>
        <xdr:cNvPr id="11674" name="Line 264">
          <a:extLst>
            <a:ext uri="{FF2B5EF4-FFF2-40B4-BE49-F238E27FC236}">
              <a16:creationId xmlns:a16="http://schemas.microsoft.com/office/drawing/2014/main" id="{00000000-0008-0000-0000-00009A2D0000}"/>
            </a:ext>
          </a:extLst>
        </xdr:cNvPr>
        <xdr:cNvSpPr>
          <a:spLocks noChangeShapeType="1"/>
        </xdr:cNvSpPr>
      </xdr:nvSpPr>
      <xdr:spPr bwMode="auto">
        <a:xfrm rot="-5400000">
          <a:off x="9558337" y="12692063"/>
          <a:ext cx="219075" cy="0"/>
        </a:xfrm>
        <a:prstGeom prst="line">
          <a:avLst/>
        </a:prstGeom>
        <a:noFill/>
        <a:ln w="12700">
          <a:solidFill>
            <a:srgbClr val="FF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38100</xdr:colOff>
      <xdr:row>68</xdr:row>
      <xdr:rowOff>133350</xdr:rowOff>
    </xdr:from>
    <xdr:to>
      <xdr:col>8</xdr:col>
      <xdr:colOff>38100</xdr:colOff>
      <xdr:row>70</xdr:row>
      <xdr:rowOff>28575</xdr:rowOff>
    </xdr:to>
    <xdr:sp macro="" textlink="">
      <xdr:nvSpPr>
        <xdr:cNvPr id="11675" name="Line 376">
          <a:extLst>
            <a:ext uri="{FF2B5EF4-FFF2-40B4-BE49-F238E27FC236}">
              <a16:creationId xmlns:a16="http://schemas.microsoft.com/office/drawing/2014/main" id="{00000000-0008-0000-0000-00009B2D0000}"/>
            </a:ext>
          </a:extLst>
        </xdr:cNvPr>
        <xdr:cNvSpPr>
          <a:spLocks noChangeShapeType="1"/>
        </xdr:cNvSpPr>
      </xdr:nvSpPr>
      <xdr:spPr bwMode="auto">
        <a:xfrm rot="-5400000">
          <a:off x="7958137" y="11596688"/>
          <a:ext cx="219075" cy="0"/>
        </a:xfrm>
        <a:prstGeom prst="line">
          <a:avLst/>
        </a:prstGeom>
        <a:noFill/>
        <a:ln w="12700">
          <a:solidFill>
            <a:srgbClr val="FF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590550</xdr:colOff>
      <xdr:row>72</xdr:row>
      <xdr:rowOff>57150</xdr:rowOff>
    </xdr:from>
    <xdr:to>
      <xdr:col>10</xdr:col>
      <xdr:colOff>304800</xdr:colOff>
      <xdr:row>72</xdr:row>
      <xdr:rowOff>57150</xdr:rowOff>
    </xdr:to>
    <xdr:sp macro="" textlink="">
      <xdr:nvSpPr>
        <xdr:cNvPr id="11676" name="Line 448">
          <a:extLst>
            <a:ext uri="{FF2B5EF4-FFF2-40B4-BE49-F238E27FC236}">
              <a16:creationId xmlns:a16="http://schemas.microsoft.com/office/drawing/2014/main" id="{00000000-0008-0000-0000-00009C2D0000}"/>
            </a:ext>
          </a:extLst>
        </xdr:cNvPr>
        <xdr:cNvSpPr>
          <a:spLocks noChangeShapeType="1"/>
        </xdr:cNvSpPr>
      </xdr:nvSpPr>
      <xdr:spPr bwMode="auto">
        <a:xfrm>
          <a:off x="7858125" y="12058650"/>
          <a:ext cx="2000250" cy="0"/>
        </a:xfrm>
        <a:prstGeom prst="line">
          <a:avLst/>
        </a:prstGeom>
        <a:noFill/>
        <a:ln w="12700">
          <a:solidFill>
            <a:srgbClr val="FF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609600</xdr:colOff>
      <xdr:row>73</xdr:row>
      <xdr:rowOff>95250</xdr:rowOff>
    </xdr:from>
    <xdr:to>
      <xdr:col>10</xdr:col>
      <xdr:colOff>323850</xdr:colOff>
      <xdr:row>73</xdr:row>
      <xdr:rowOff>95250</xdr:rowOff>
    </xdr:to>
    <xdr:sp macro="" textlink="">
      <xdr:nvSpPr>
        <xdr:cNvPr id="11677" name="Line 449">
          <a:extLst>
            <a:ext uri="{FF2B5EF4-FFF2-40B4-BE49-F238E27FC236}">
              <a16:creationId xmlns:a16="http://schemas.microsoft.com/office/drawing/2014/main" id="{00000000-0008-0000-0000-00009D2D0000}"/>
            </a:ext>
          </a:extLst>
        </xdr:cNvPr>
        <xdr:cNvSpPr>
          <a:spLocks noChangeShapeType="1"/>
        </xdr:cNvSpPr>
      </xdr:nvSpPr>
      <xdr:spPr bwMode="auto">
        <a:xfrm>
          <a:off x="7877175" y="12258675"/>
          <a:ext cx="2000250" cy="0"/>
        </a:xfrm>
        <a:prstGeom prst="line">
          <a:avLst/>
        </a:prstGeom>
        <a:noFill/>
        <a:ln w="12700">
          <a:solidFill>
            <a:srgbClr val="FF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7</xdr:col>
      <xdr:colOff>590550</xdr:colOff>
      <xdr:row>70</xdr:row>
      <xdr:rowOff>38100</xdr:rowOff>
    </xdr:from>
    <xdr:to>
      <xdr:col>10</xdr:col>
      <xdr:colOff>304800</xdr:colOff>
      <xdr:row>75</xdr:row>
      <xdr:rowOff>85725</xdr:rowOff>
    </xdr:to>
    <xdr:sp macro="" textlink="">
      <xdr:nvSpPr>
        <xdr:cNvPr id="11678" name="Rectangle 256">
          <a:extLst>
            <a:ext uri="{FF2B5EF4-FFF2-40B4-BE49-F238E27FC236}">
              <a16:creationId xmlns:a16="http://schemas.microsoft.com/office/drawing/2014/main" id="{00000000-0008-0000-0000-00009E2D0000}"/>
            </a:ext>
          </a:extLst>
        </xdr:cNvPr>
        <xdr:cNvSpPr>
          <a:spLocks noChangeArrowheads="1"/>
        </xdr:cNvSpPr>
      </xdr:nvSpPr>
      <xdr:spPr bwMode="auto">
        <a:xfrm>
          <a:off x="7858125" y="11715750"/>
          <a:ext cx="2000250" cy="857250"/>
        </a:xfrm>
        <a:prstGeom prst="rect">
          <a:avLst/>
        </a:prstGeom>
        <a:solidFill>
          <a:srgbClr val="FFFFFF">
            <a:alpha val="0"/>
          </a:srgbClr>
        </a:solidFill>
        <a:ln w="12700">
          <a:solidFill>
            <a:srgbClr val="FF0000"/>
          </a:solidFill>
          <a:prstDash val="dash"/>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0</xdr:col>
          <xdr:colOff>590550</xdr:colOff>
          <xdr:row>9</xdr:row>
          <xdr:rowOff>0</xdr:rowOff>
        </xdr:from>
        <xdr:to>
          <xdr:col>7</xdr:col>
          <xdr:colOff>152400</xdr:colOff>
          <xdr:row>17</xdr:row>
          <xdr:rowOff>38100</xdr:rowOff>
        </xdr:to>
        <xdr:sp macro="" textlink="">
          <xdr:nvSpPr>
            <xdr:cNvPr id="4097" name="Group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b-NO" sz="800" b="0" i="0" u="none" strike="noStrike" baseline="0">
                  <a:solidFill>
                    <a:srgbClr val="000000"/>
                  </a:solidFill>
                  <a:latin typeface="Tahoma"/>
                  <a:ea typeface="Tahoma"/>
                  <a:cs typeface="Tahoma"/>
                </a:rPr>
                <a:t>Distrikt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609600</xdr:colOff>
          <xdr:row>0</xdr:row>
          <xdr:rowOff>152400</xdr:rowOff>
        </xdr:from>
        <xdr:to>
          <xdr:col>7</xdr:col>
          <xdr:colOff>152400</xdr:colOff>
          <xdr:row>7</xdr:row>
          <xdr:rowOff>133350</xdr:rowOff>
        </xdr:to>
        <xdr:sp macro="" textlink="">
          <xdr:nvSpPr>
            <xdr:cNvPr id="4101" name="Group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b-NO" sz="800" b="0" i="0" u="none" strike="noStrike" baseline="0">
                  <a:solidFill>
                    <a:srgbClr val="000000"/>
                  </a:solidFill>
                  <a:latin typeface="Tahoma"/>
                  <a:ea typeface="Tahoma"/>
                  <a:cs typeface="Tahoma"/>
                </a:rPr>
                <a:t>Byggested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18</xdr:row>
          <xdr:rowOff>85725</xdr:rowOff>
        </xdr:from>
        <xdr:to>
          <xdr:col>7</xdr:col>
          <xdr:colOff>152400</xdr:colOff>
          <xdr:row>35</xdr:row>
          <xdr:rowOff>66675</xdr:rowOff>
        </xdr:to>
        <xdr:sp macro="" textlink="">
          <xdr:nvSpPr>
            <xdr:cNvPr id="4102" name="Group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b-NO" sz="800" b="0" i="0" u="none" strike="noStrike" baseline="0">
                  <a:solidFill>
                    <a:srgbClr val="000000"/>
                  </a:solidFill>
                  <a:latin typeface="Tahoma"/>
                  <a:ea typeface="Tahoma"/>
                  <a:cs typeface="Tahoma"/>
                </a:rPr>
                <a:t>Dimenajoner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752475</xdr:colOff>
          <xdr:row>19</xdr:row>
          <xdr:rowOff>123825</xdr:rowOff>
        </xdr:from>
        <xdr:to>
          <xdr:col>1</xdr:col>
          <xdr:colOff>1895475</xdr:colOff>
          <xdr:row>21</xdr:row>
          <xdr:rowOff>19050</xdr:rowOff>
        </xdr:to>
        <xdr:sp macro="" textlink="">
          <xdr:nvSpPr>
            <xdr:cNvPr id="4111" name="Option Button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solidFill>
              <a:srgbClr val="CCFFFF" mc:Ignorable="a14" a14:legacySpreadsheetColorIndex="41"/>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nb-NO" sz="800" b="0" i="0" u="none" strike="noStrike" baseline="0">
                  <a:solidFill>
                    <a:srgbClr val="000000"/>
                  </a:solidFill>
                  <a:latin typeface="Tahoma"/>
                  <a:ea typeface="Tahoma"/>
                  <a:cs typeface="Tahoma"/>
                </a:rPr>
                <a:t>Flatt 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752475</xdr:colOff>
          <xdr:row>21</xdr:row>
          <xdr:rowOff>95250</xdr:rowOff>
        </xdr:from>
        <xdr:to>
          <xdr:col>1</xdr:col>
          <xdr:colOff>1895475</xdr:colOff>
          <xdr:row>22</xdr:row>
          <xdr:rowOff>152400</xdr:rowOff>
        </xdr:to>
        <xdr:sp macro="" textlink="">
          <xdr:nvSpPr>
            <xdr:cNvPr id="4112" name="Option Button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solidFill>
              <a:srgbClr val="CCFFFF" mc:Ignorable="a14" a14:legacySpreadsheetColorIndex="41"/>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nb-NO" sz="800" b="0" i="0" u="none" strike="noStrike" baseline="0">
                  <a:solidFill>
                    <a:srgbClr val="000000"/>
                  </a:solidFill>
                  <a:latin typeface="Tahoma"/>
                  <a:ea typeface="Tahoma"/>
                  <a:cs typeface="Tahoma"/>
                </a:rPr>
                <a:t>Pult 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752475</xdr:colOff>
          <xdr:row>23</xdr:row>
          <xdr:rowOff>66675</xdr:rowOff>
        </xdr:from>
        <xdr:to>
          <xdr:col>1</xdr:col>
          <xdr:colOff>1895475</xdr:colOff>
          <xdr:row>24</xdr:row>
          <xdr:rowOff>123825</xdr:rowOff>
        </xdr:to>
        <xdr:sp macro="" textlink="">
          <xdr:nvSpPr>
            <xdr:cNvPr id="4113" name="Option Button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solidFill>
              <a:srgbClr val="CCFFFF" mc:Ignorable="a14" a14:legacySpreadsheetColorIndex="41"/>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nb-NO" sz="800" b="0" i="0" u="none" strike="noStrike" baseline="0">
                  <a:solidFill>
                    <a:srgbClr val="000000"/>
                  </a:solidFill>
                  <a:latin typeface="Tahoma"/>
                  <a:ea typeface="Tahoma"/>
                  <a:cs typeface="Tahoma"/>
                </a:rPr>
                <a:t>Sal 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752475</xdr:colOff>
          <xdr:row>25</xdr:row>
          <xdr:rowOff>47625</xdr:rowOff>
        </xdr:from>
        <xdr:to>
          <xdr:col>1</xdr:col>
          <xdr:colOff>1895475</xdr:colOff>
          <xdr:row>26</xdr:row>
          <xdr:rowOff>104775</xdr:rowOff>
        </xdr:to>
        <xdr:sp macro="" textlink="">
          <xdr:nvSpPr>
            <xdr:cNvPr id="4114" name="Option Button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solidFill>
              <a:srgbClr val="CCFFFF" mc:Ignorable="a14" a14:legacySpreadsheetColorIndex="41"/>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nb-NO" sz="800" b="0" i="0" u="none" strike="noStrike" baseline="0">
                  <a:solidFill>
                    <a:srgbClr val="000000"/>
                  </a:solidFill>
                  <a:latin typeface="Tahoma"/>
                  <a:ea typeface="Tahoma"/>
                  <a:cs typeface="Tahoma"/>
                </a:rPr>
                <a:t>Buet 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752475</xdr:colOff>
          <xdr:row>27</xdr:row>
          <xdr:rowOff>19050</xdr:rowOff>
        </xdr:from>
        <xdr:to>
          <xdr:col>1</xdr:col>
          <xdr:colOff>1895475</xdr:colOff>
          <xdr:row>28</xdr:row>
          <xdr:rowOff>76200</xdr:rowOff>
        </xdr:to>
        <xdr:sp macro="" textlink="">
          <xdr:nvSpPr>
            <xdr:cNvPr id="4117" name="Option Button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solidFill>
              <a:srgbClr val="CCFFFF" mc:Ignorable="a14" a14:legacySpreadsheetColorIndex="41"/>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nb-NO" sz="800" b="0" i="0" u="none" strike="noStrike" baseline="0">
                  <a:solidFill>
                    <a:srgbClr val="000000"/>
                  </a:solidFill>
                  <a:latin typeface="Tahoma"/>
                  <a:ea typeface="Tahoma"/>
                  <a:cs typeface="Tahoma"/>
                </a:rPr>
                <a:t>Kuppel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36</xdr:row>
          <xdr:rowOff>76200</xdr:rowOff>
        </xdr:from>
        <xdr:to>
          <xdr:col>8</xdr:col>
          <xdr:colOff>723900</xdr:colOff>
          <xdr:row>48</xdr:row>
          <xdr:rowOff>0</xdr:rowOff>
        </xdr:to>
        <xdr:sp macro="" textlink="">
          <xdr:nvSpPr>
            <xdr:cNvPr id="4261" name="Group Box 165" hidden="1">
              <a:extLst>
                <a:ext uri="{63B3BB69-23CF-44E3-9099-C40C66FF867C}">
                  <a14:compatExt spid="_x0000_s4261"/>
                </a:ext>
                <a:ext uri="{FF2B5EF4-FFF2-40B4-BE49-F238E27FC236}">
                  <a16:creationId xmlns:a16="http://schemas.microsoft.com/office/drawing/2014/main" id="{00000000-0008-0000-0000-0000A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b-NO" sz="800" b="0" i="0" u="none" strike="noStrike" baseline="0">
                  <a:solidFill>
                    <a:srgbClr val="000000"/>
                  </a:solidFill>
                  <a:latin typeface="Tahoma"/>
                  <a:ea typeface="Tahoma"/>
                  <a:cs typeface="Tahoma"/>
                </a:rPr>
                <a:t>Flatt 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49</xdr:row>
          <xdr:rowOff>47625</xdr:rowOff>
        </xdr:from>
        <xdr:to>
          <xdr:col>12</xdr:col>
          <xdr:colOff>295275</xdr:colOff>
          <xdr:row>62</xdr:row>
          <xdr:rowOff>152400</xdr:rowOff>
        </xdr:to>
        <xdr:sp macro="" textlink="">
          <xdr:nvSpPr>
            <xdr:cNvPr id="4262" name="Group Box 166" hidden="1">
              <a:extLst>
                <a:ext uri="{63B3BB69-23CF-44E3-9099-C40C66FF867C}">
                  <a14:compatExt spid="_x0000_s4262"/>
                </a:ext>
                <a:ext uri="{FF2B5EF4-FFF2-40B4-BE49-F238E27FC236}">
                  <a16:creationId xmlns:a16="http://schemas.microsoft.com/office/drawing/2014/main" id="{00000000-0008-0000-0000-0000A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b-NO" sz="800" b="0" i="0" u="none" strike="noStrike" baseline="0">
                  <a:solidFill>
                    <a:srgbClr val="000000"/>
                  </a:solidFill>
                  <a:latin typeface="Tahoma"/>
                  <a:ea typeface="Tahoma"/>
                  <a:cs typeface="Tahoma"/>
                </a:rPr>
                <a:t>Pult 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64</xdr:row>
          <xdr:rowOff>104775</xdr:rowOff>
        </xdr:from>
        <xdr:to>
          <xdr:col>12</xdr:col>
          <xdr:colOff>285750</xdr:colOff>
          <xdr:row>78</xdr:row>
          <xdr:rowOff>47625</xdr:rowOff>
        </xdr:to>
        <xdr:sp macro="" textlink="">
          <xdr:nvSpPr>
            <xdr:cNvPr id="4264" name="Group Box 168" hidden="1">
              <a:extLst>
                <a:ext uri="{63B3BB69-23CF-44E3-9099-C40C66FF867C}">
                  <a14:compatExt spid="_x0000_s4264"/>
                </a:ext>
                <a:ext uri="{FF2B5EF4-FFF2-40B4-BE49-F238E27FC236}">
                  <a16:creationId xmlns:a16="http://schemas.microsoft.com/office/drawing/2014/main" id="{00000000-0008-0000-0000-0000A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b-NO" sz="800" b="0" i="0" u="none" strike="noStrike" baseline="0">
                  <a:solidFill>
                    <a:srgbClr val="000000"/>
                  </a:solidFill>
                  <a:latin typeface="Tahoma"/>
                  <a:ea typeface="Tahoma"/>
                  <a:cs typeface="Tahoma"/>
                </a:rPr>
                <a:t>Sal 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80</xdr:row>
          <xdr:rowOff>19050</xdr:rowOff>
        </xdr:from>
        <xdr:to>
          <xdr:col>12</xdr:col>
          <xdr:colOff>276225</xdr:colOff>
          <xdr:row>93</xdr:row>
          <xdr:rowOff>123825</xdr:rowOff>
        </xdr:to>
        <xdr:sp macro="" textlink="">
          <xdr:nvSpPr>
            <xdr:cNvPr id="4265" name="Group Box 169" hidden="1">
              <a:extLst>
                <a:ext uri="{63B3BB69-23CF-44E3-9099-C40C66FF867C}">
                  <a14:compatExt spid="_x0000_s4265"/>
                </a:ext>
                <a:ext uri="{FF2B5EF4-FFF2-40B4-BE49-F238E27FC236}">
                  <a16:creationId xmlns:a16="http://schemas.microsoft.com/office/drawing/2014/main" id="{00000000-0008-0000-0000-0000A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b-NO" sz="800" b="0" i="0" u="none" strike="noStrike" baseline="0">
                  <a:solidFill>
                    <a:srgbClr val="000000"/>
                  </a:solidFill>
                  <a:latin typeface="Tahoma"/>
                  <a:ea typeface="Tahoma"/>
                  <a:cs typeface="Tahoma"/>
                </a:rPr>
                <a:t>Buet 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95</xdr:row>
          <xdr:rowOff>133350</xdr:rowOff>
        </xdr:from>
        <xdr:to>
          <xdr:col>8</xdr:col>
          <xdr:colOff>723900</xdr:colOff>
          <xdr:row>115</xdr:row>
          <xdr:rowOff>38100</xdr:rowOff>
        </xdr:to>
        <xdr:sp macro="" textlink="">
          <xdr:nvSpPr>
            <xdr:cNvPr id="4266" name="Group Box 170" hidden="1">
              <a:extLst>
                <a:ext uri="{63B3BB69-23CF-44E3-9099-C40C66FF867C}">
                  <a14:compatExt spid="_x0000_s4266"/>
                </a:ext>
                <a:ext uri="{FF2B5EF4-FFF2-40B4-BE49-F238E27FC236}">
                  <a16:creationId xmlns:a16="http://schemas.microsoft.com/office/drawing/2014/main" id="{00000000-0008-0000-0000-0000A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b-NO" sz="800" b="0" i="0" u="none" strike="noStrike" baseline="0">
                  <a:solidFill>
                    <a:srgbClr val="000000"/>
                  </a:solidFill>
                  <a:latin typeface="Tahoma"/>
                  <a:ea typeface="Tahoma"/>
                  <a:cs typeface="Tahoma"/>
                </a:rPr>
                <a:t>Kuppel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104775</xdr:rowOff>
        </xdr:from>
        <xdr:to>
          <xdr:col>1</xdr:col>
          <xdr:colOff>1952625</xdr:colOff>
          <xdr:row>14</xdr:row>
          <xdr:rowOff>19050</xdr:rowOff>
        </xdr:to>
        <xdr:sp macro="" textlink="">
          <xdr:nvSpPr>
            <xdr:cNvPr id="4552" name="Drop Down 456" hidden="1">
              <a:extLst>
                <a:ext uri="{63B3BB69-23CF-44E3-9099-C40C66FF867C}">
                  <a14:compatExt spid="_x0000_s4552"/>
                </a:ext>
                <a:ext uri="{FF2B5EF4-FFF2-40B4-BE49-F238E27FC236}">
                  <a16:creationId xmlns:a16="http://schemas.microsoft.com/office/drawing/2014/main" id="{00000000-0008-0000-0000-0000C8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342900</xdr:colOff>
      <xdr:row>81</xdr:row>
      <xdr:rowOff>66675</xdr:rowOff>
    </xdr:from>
    <xdr:to>
      <xdr:col>8</xdr:col>
      <xdr:colOff>152400</xdr:colOff>
      <xdr:row>92</xdr:row>
      <xdr:rowOff>133350</xdr:rowOff>
    </xdr:to>
    <xdr:grpSp>
      <xdr:nvGrpSpPr>
        <xdr:cNvPr id="1507" name="Group 137">
          <a:extLst>
            <a:ext uri="{FF2B5EF4-FFF2-40B4-BE49-F238E27FC236}">
              <a16:creationId xmlns:a16="http://schemas.microsoft.com/office/drawing/2014/main" id="{00000000-0008-0000-0100-0000E3050000}"/>
            </a:ext>
          </a:extLst>
        </xdr:cNvPr>
        <xdr:cNvGrpSpPr>
          <a:grpSpLocks/>
        </xdr:cNvGrpSpPr>
      </xdr:nvGrpSpPr>
      <xdr:grpSpPr bwMode="auto">
        <a:xfrm>
          <a:off x="1104900" y="13363575"/>
          <a:ext cx="5143500" cy="1847850"/>
          <a:chOff x="116" y="1401"/>
          <a:chExt cx="540" cy="194"/>
        </a:xfrm>
      </xdr:grpSpPr>
      <xdr:sp macro="" textlink="">
        <xdr:nvSpPr>
          <xdr:cNvPr id="1562" name="Line 93">
            <a:extLst>
              <a:ext uri="{FF2B5EF4-FFF2-40B4-BE49-F238E27FC236}">
                <a16:creationId xmlns:a16="http://schemas.microsoft.com/office/drawing/2014/main" id="{00000000-0008-0000-0100-00001A060000}"/>
              </a:ext>
            </a:extLst>
          </xdr:cNvPr>
          <xdr:cNvSpPr>
            <a:spLocks noChangeShapeType="1"/>
          </xdr:cNvSpPr>
        </xdr:nvSpPr>
        <xdr:spPr bwMode="auto">
          <a:xfrm flipV="1">
            <a:off x="205" y="1512"/>
            <a:ext cx="38"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1563" name="Line 87">
            <a:extLst>
              <a:ext uri="{FF2B5EF4-FFF2-40B4-BE49-F238E27FC236}">
                <a16:creationId xmlns:a16="http://schemas.microsoft.com/office/drawing/2014/main" id="{00000000-0008-0000-0100-00001B060000}"/>
              </a:ext>
            </a:extLst>
          </xdr:cNvPr>
          <xdr:cNvSpPr>
            <a:spLocks noChangeShapeType="1"/>
          </xdr:cNvSpPr>
        </xdr:nvSpPr>
        <xdr:spPr bwMode="auto">
          <a:xfrm>
            <a:off x="282" y="1594"/>
            <a:ext cx="374" cy="0"/>
          </a:xfrm>
          <a:prstGeom prst="line">
            <a:avLst/>
          </a:prstGeom>
          <a:noFill/>
          <a:ln w="158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1564" name="Rectangle 88">
            <a:extLst>
              <a:ext uri="{FF2B5EF4-FFF2-40B4-BE49-F238E27FC236}">
                <a16:creationId xmlns:a16="http://schemas.microsoft.com/office/drawing/2014/main" id="{00000000-0008-0000-0100-00001C060000}"/>
              </a:ext>
            </a:extLst>
          </xdr:cNvPr>
          <xdr:cNvSpPr>
            <a:spLocks noChangeArrowheads="1"/>
          </xdr:cNvSpPr>
        </xdr:nvSpPr>
        <xdr:spPr bwMode="auto">
          <a:xfrm>
            <a:off x="575" y="1573"/>
            <a:ext cx="40" cy="20"/>
          </a:xfrm>
          <a:prstGeom prst="rect">
            <a:avLst/>
          </a:prstGeom>
          <a:solidFill>
            <a:srgbClr val="FFFFFF"/>
          </a:solidFill>
          <a:ln w="9525">
            <a:solidFill>
              <a:srgbClr val="000000"/>
            </a:solidFill>
            <a:miter lim="800000"/>
            <a:headEnd/>
            <a:tailEnd/>
          </a:ln>
        </xdr:spPr>
      </xdr:sp>
      <xdr:sp macro="" textlink="">
        <xdr:nvSpPr>
          <xdr:cNvPr id="1565" name="Line 89">
            <a:extLst>
              <a:ext uri="{FF2B5EF4-FFF2-40B4-BE49-F238E27FC236}">
                <a16:creationId xmlns:a16="http://schemas.microsoft.com/office/drawing/2014/main" id="{00000000-0008-0000-0100-00001D060000}"/>
              </a:ext>
            </a:extLst>
          </xdr:cNvPr>
          <xdr:cNvSpPr>
            <a:spLocks noChangeShapeType="1"/>
          </xdr:cNvSpPr>
        </xdr:nvSpPr>
        <xdr:spPr bwMode="auto">
          <a:xfrm rot="1199351">
            <a:off x="179" y="1447"/>
            <a:ext cx="129" cy="131"/>
          </a:xfrm>
          <a:prstGeom prst="line">
            <a:avLst/>
          </a:prstGeom>
          <a:noFill/>
          <a:ln w="158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1566" name="Line 90">
            <a:extLst>
              <a:ext uri="{FF2B5EF4-FFF2-40B4-BE49-F238E27FC236}">
                <a16:creationId xmlns:a16="http://schemas.microsoft.com/office/drawing/2014/main" id="{00000000-0008-0000-0100-00001E060000}"/>
              </a:ext>
            </a:extLst>
          </xdr:cNvPr>
          <xdr:cNvSpPr>
            <a:spLocks noChangeShapeType="1"/>
          </xdr:cNvSpPr>
        </xdr:nvSpPr>
        <xdr:spPr bwMode="auto">
          <a:xfrm flipH="1">
            <a:off x="119" y="1429"/>
            <a:ext cx="88" cy="0"/>
          </a:xfrm>
          <a:prstGeom prst="line">
            <a:avLst/>
          </a:prstGeom>
          <a:noFill/>
          <a:ln w="158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1567" name="Line 91">
            <a:extLst>
              <a:ext uri="{FF2B5EF4-FFF2-40B4-BE49-F238E27FC236}">
                <a16:creationId xmlns:a16="http://schemas.microsoft.com/office/drawing/2014/main" id="{00000000-0008-0000-0100-00001F060000}"/>
              </a:ext>
            </a:extLst>
          </xdr:cNvPr>
          <xdr:cNvSpPr>
            <a:spLocks noChangeShapeType="1"/>
          </xdr:cNvSpPr>
        </xdr:nvSpPr>
        <xdr:spPr bwMode="auto">
          <a:xfrm>
            <a:off x="204" y="1420"/>
            <a:ext cx="39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1116" name="Text Box 92">
            <a:extLst>
              <a:ext uri="{FF2B5EF4-FFF2-40B4-BE49-F238E27FC236}">
                <a16:creationId xmlns:a16="http://schemas.microsoft.com/office/drawing/2014/main" id="{00000000-0008-0000-0100-00005C040000}"/>
              </a:ext>
            </a:extLst>
          </xdr:cNvPr>
          <xdr:cNvSpPr txBox="1">
            <a:spLocks noChangeArrowheads="1"/>
          </xdr:cNvSpPr>
        </xdr:nvSpPr>
        <xdr:spPr bwMode="auto">
          <a:xfrm>
            <a:off x="308" y="1401"/>
            <a:ext cx="207" cy="20"/>
          </a:xfrm>
          <a:prstGeom prst="rect">
            <a:avLst/>
          </a:prstGeom>
          <a:noFill/>
          <a:ln w="9525">
            <a:noFill/>
            <a:miter lim="800000"/>
            <a:headEnd/>
            <a:tailEnd/>
          </a:ln>
        </xdr:spPr>
        <xdr:txBody>
          <a:bodyPr wrap="none" lIns="27432" tIns="27432" rIns="0" bIns="0" anchor="t" upright="1">
            <a:spAutoFit/>
          </a:bodyPr>
          <a:lstStyle/>
          <a:p>
            <a:pPr algn="l" rtl="0">
              <a:defRPr sz="1000"/>
            </a:pPr>
            <a:r>
              <a:rPr lang="nb-NO" sz="1000" b="0" i="0" u="none" strike="noStrike" baseline="0">
                <a:solidFill>
                  <a:srgbClr val="000000"/>
                </a:solidFill>
                <a:latin typeface="Arial"/>
                <a:cs typeface="Arial"/>
              </a:rPr>
              <a:t>X, med fri sikt mellom bygg og topp  </a:t>
            </a:r>
          </a:p>
        </xdr:txBody>
      </xdr:sp>
      <xdr:sp macro="" textlink="">
        <xdr:nvSpPr>
          <xdr:cNvPr id="1569" name="Line 94">
            <a:extLst>
              <a:ext uri="{FF2B5EF4-FFF2-40B4-BE49-F238E27FC236}">
                <a16:creationId xmlns:a16="http://schemas.microsoft.com/office/drawing/2014/main" id="{00000000-0008-0000-0100-000021060000}"/>
              </a:ext>
            </a:extLst>
          </xdr:cNvPr>
          <xdr:cNvSpPr>
            <a:spLocks noChangeShapeType="1"/>
          </xdr:cNvSpPr>
        </xdr:nvSpPr>
        <xdr:spPr bwMode="auto">
          <a:xfrm>
            <a:off x="116" y="1594"/>
            <a:ext cx="166"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sp macro="" textlink="">
        <xdr:nvSpPr>
          <xdr:cNvPr id="1570" name="Line 95">
            <a:extLst>
              <a:ext uri="{FF2B5EF4-FFF2-40B4-BE49-F238E27FC236}">
                <a16:creationId xmlns:a16="http://schemas.microsoft.com/office/drawing/2014/main" id="{00000000-0008-0000-0100-000022060000}"/>
              </a:ext>
            </a:extLst>
          </xdr:cNvPr>
          <xdr:cNvSpPr>
            <a:spLocks noChangeShapeType="1"/>
          </xdr:cNvSpPr>
        </xdr:nvSpPr>
        <xdr:spPr bwMode="auto">
          <a:xfrm>
            <a:off x="204" y="1429"/>
            <a:ext cx="0" cy="165"/>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1120" name="Text Box 96">
            <a:extLst>
              <a:ext uri="{FF2B5EF4-FFF2-40B4-BE49-F238E27FC236}">
                <a16:creationId xmlns:a16="http://schemas.microsoft.com/office/drawing/2014/main" id="{00000000-0008-0000-0100-000060040000}"/>
              </a:ext>
            </a:extLst>
          </xdr:cNvPr>
          <xdr:cNvSpPr txBox="1">
            <a:spLocks noChangeArrowheads="1"/>
          </xdr:cNvSpPr>
        </xdr:nvSpPr>
        <xdr:spPr bwMode="auto">
          <a:xfrm>
            <a:off x="184" y="1471"/>
            <a:ext cx="12" cy="20"/>
          </a:xfrm>
          <a:prstGeom prst="rect">
            <a:avLst/>
          </a:prstGeom>
          <a:noFill/>
          <a:ln w="9525">
            <a:noFill/>
            <a:miter lim="800000"/>
            <a:headEnd/>
            <a:tailEnd/>
          </a:ln>
        </xdr:spPr>
        <xdr:txBody>
          <a:bodyPr wrap="none" lIns="27432" tIns="27432" rIns="0" bIns="0" anchor="t" upright="1">
            <a:spAutoFit/>
          </a:bodyPr>
          <a:lstStyle/>
          <a:p>
            <a:pPr algn="l" rtl="0">
              <a:defRPr sz="1000"/>
            </a:pPr>
            <a:r>
              <a:rPr lang="nb-NO" sz="1000" b="0" i="0" u="none" strike="noStrike" baseline="0">
                <a:solidFill>
                  <a:srgbClr val="000000"/>
                </a:solidFill>
                <a:latin typeface="Arial"/>
                <a:cs typeface="Arial"/>
              </a:rPr>
              <a:t>H</a:t>
            </a:r>
          </a:p>
        </xdr:txBody>
      </xdr:sp>
      <xdr:sp macro="" textlink="">
        <xdr:nvSpPr>
          <xdr:cNvPr id="1121" name="Text Box 97">
            <a:extLst>
              <a:ext uri="{FF2B5EF4-FFF2-40B4-BE49-F238E27FC236}">
                <a16:creationId xmlns:a16="http://schemas.microsoft.com/office/drawing/2014/main" id="{00000000-0008-0000-0100-000061040000}"/>
              </a:ext>
            </a:extLst>
          </xdr:cNvPr>
          <xdr:cNvSpPr txBox="1">
            <a:spLocks noChangeArrowheads="1"/>
          </xdr:cNvSpPr>
        </xdr:nvSpPr>
        <xdr:spPr bwMode="auto">
          <a:xfrm>
            <a:off x="213" y="1495"/>
            <a:ext cx="19" cy="20"/>
          </a:xfrm>
          <a:prstGeom prst="rect">
            <a:avLst/>
          </a:prstGeom>
          <a:noFill/>
          <a:ln w="9525">
            <a:noFill/>
            <a:miter lim="800000"/>
            <a:headEnd/>
            <a:tailEnd/>
          </a:ln>
        </xdr:spPr>
        <xdr:txBody>
          <a:bodyPr wrap="none" lIns="27432" tIns="27432" rIns="0" bIns="0" anchor="t" upright="1">
            <a:spAutoFit/>
          </a:bodyPr>
          <a:lstStyle/>
          <a:p>
            <a:pPr algn="l" rtl="0">
              <a:defRPr sz="1000"/>
            </a:pPr>
            <a:r>
              <a:rPr lang="nb-NO" sz="1000" b="0" i="0" u="none" strike="noStrike" baseline="0">
                <a:solidFill>
                  <a:srgbClr val="000000"/>
                </a:solidFill>
                <a:latin typeface="Arial"/>
                <a:cs typeface="Arial"/>
              </a:rPr>
              <a:t>LH</a:t>
            </a:r>
          </a:p>
        </xdr:txBody>
      </xdr:sp>
      <xdr:sp macro="" textlink="">
        <xdr:nvSpPr>
          <xdr:cNvPr id="1573" name="Line 98">
            <a:extLst>
              <a:ext uri="{FF2B5EF4-FFF2-40B4-BE49-F238E27FC236}">
                <a16:creationId xmlns:a16="http://schemas.microsoft.com/office/drawing/2014/main" id="{00000000-0008-0000-0100-000025060000}"/>
              </a:ext>
            </a:extLst>
          </xdr:cNvPr>
          <xdr:cNvSpPr>
            <a:spLocks noChangeShapeType="1"/>
          </xdr:cNvSpPr>
        </xdr:nvSpPr>
        <xdr:spPr bwMode="auto">
          <a:xfrm>
            <a:off x="243" y="1511"/>
            <a:ext cx="0" cy="84"/>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1123" name="Text Box 99">
            <a:extLst>
              <a:ext uri="{FF2B5EF4-FFF2-40B4-BE49-F238E27FC236}">
                <a16:creationId xmlns:a16="http://schemas.microsoft.com/office/drawing/2014/main" id="{00000000-0008-0000-0100-000063040000}"/>
              </a:ext>
            </a:extLst>
          </xdr:cNvPr>
          <xdr:cNvSpPr txBox="1">
            <a:spLocks noChangeArrowheads="1"/>
          </xdr:cNvSpPr>
        </xdr:nvSpPr>
        <xdr:spPr bwMode="auto">
          <a:xfrm>
            <a:off x="212" y="1548"/>
            <a:ext cx="30" cy="20"/>
          </a:xfrm>
          <a:prstGeom prst="rect">
            <a:avLst/>
          </a:prstGeom>
          <a:noFill/>
          <a:ln w="9525">
            <a:noFill/>
            <a:miter lim="800000"/>
            <a:headEnd/>
            <a:tailEnd/>
          </a:ln>
        </xdr:spPr>
        <xdr:txBody>
          <a:bodyPr wrap="none" lIns="27432" tIns="27432" rIns="0" bIns="0" anchor="t" upright="1">
            <a:spAutoFit/>
          </a:bodyPr>
          <a:lstStyle/>
          <a:p>
            <a:pPr algn="l" rtl="0">
              <a:defRPr sz="1000"/>
            </a:pPr>
            <a:r>
              <a:rPr lang="nb-NO" sz="1000" b="0" i="0" u="none" strike="noStrike" baseline="0">
                <a:solidFill>
                  <a:srgbClr val="000000"/>
                </a:solidFill>
                <a:latin typeface="Arial"/>
                <a:cs typeface="Arial"/>
              </a:rPr>
              <a:t>0.5H</a:t>
            </a:r>
          </a:p>
        </xdr:txBody>
      </xdr:sp>
      <xdr:sp macro="" textlink="">
        <xdr:nvSpPr>
          <xdr:cNvPr id="1575" name="Line 101">
            <a:extLst>
              <a:ext uri="{FF2B5EF4-FFF2-40B4-BE49-F238E27FC236}">
                <a16:creationId xmlns:a16="http://schemas.microsoft.com/office/drawing/2014/main" id="{00000000-0008-0000-0100-000027060000}"/>
              </a:ext>
            </a:extLst>
          </xdr:cNvPr>
          <xdr:cNvSpPr>
            <a:spLocks noChangeShapeType="1"/>
          </xdr:cNvSpPr>
        </xdr:nvSpPr>
        <xdr:spPr bwMode="auto">
          <a:xfrm flipH="1">
            <a:off x="595" y="1405"/>
            <a:ext cx="0" cy="162"/>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628650</xdr:colOff>
      <xdr:row>73</xdr:row>
      <xdr:rowOff>114300</xdr:rowOff>
    </xdr:from>
    <xdr:to>
      <xdr:col>2</xdr:col>
      <xdr:colOff>628650</xdr:colOff>
      <xdr:row>77</xdr:row>
      <xdr:rowOff>28575</xdr:rowOff>
    </xdr:to>
    <xdr:sp macro="" textlink="">
      <xdr:nvSpPr>
        <xdr:cNvPr id="1508" name="Line 81">
          <a:extLst>
            <a:ext uri="{FF2B5EF4-FFF2-40B4-BE49-F238E27FC236}">
              <a16:creationId xmlns:a16="http://schemas.microsoft.com/office/drawing/2014/main" id="{00000000-0008-0000-0100-0000E4050000}"/>
            </a:ext>
          </a:extLst>
        </xdr:cNvPr>
        <xdr:cNvSpPr>
          <a:spLocks noChangeShapeType="1"/>
        </xdr:cNvSpPr>
      </xdr:nvSpPr>
      <xdr:spPr bwMode="auto">
        <a:xfrm>
          <a:off x="2152650" y="12115800"/>
          <a:ext cx="0" cy="561975"/>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657225</xdr:colOff>
      <xdr:row>68</xdr:row>
      <xdr:rowOff>19050</xdr:rowOff>
    </xdr:from>
    <xdr:to>
      <xdr:col>7</xdr:col>
      <xdr:colOff>419100</xdr:colOff>
      <xdr:row>77</xdr:row>
      <xdr:rowOff>38100</xdr:rowOff>
    </xdr:to>
    <xdr:grpSp>
      <xdr:nvGrpSpPr>
        <xdr:cNvPr id="1509" name="Group 135">
          <a:extLst>
            <a:ext uri="{FF2B5EF4-FFF2-40B4-BE49-F238E27FC236}">
              <a16:creationId xmlns:a16="http://schemas.microsoft.com/office/drawing/2014/main" id="{00000000-0008-0000-0100-0000E5050000}"/>
            </a:ext>
          </a:extLst>
        </xdr:cNvPr>
        <xdr:cNvGrpSpPr>
          <a:grpSpLocks/>
        </xdr:cNvGrpSpPr>
      </xdr:nvGrpSpPr>
      <xdr:grpSpPr bwMode="auto">
        <a:xfrm>
          <a:off x="657225" y="11210925"/>
          <a:ext cx="5095875" cy="1476375"/>
          <a:chOff x="69" y="1174"/>
          <a:chExt cx="535" cy="156"/>
        </a:xfrm>
      </xdr:grpSpPr>
      <xdr:sp macro="" textlink="">
        <xdr:nvSpPr>
          <xdr:cNvPr id="1545" name="Line 70">
            <a:extLst>
              <a:ext uri="{FF2B5EF4-FFF2-40B4-BE49-F238E27FC236}">
                <a16:creationId xmlns:a16="http://schemas.microsoft.com/office/drawing/2014/main" id="{00000000-0008-0000-0100-000009060000}"/>
              </a:ext>
            </a:extLst>
          </xdr:cNvPr>
          <xdr:cNvSpPr>
            <a:spLocks noChangeShapeType="1"/>
          </xdr:cNvSpPr>
        </xdr:nvSpPr>
        <xdr:spPr bwMode="auto">
          <a:xfrm flipH="1">
            <a:off x="117" y="1204"/>
            <a:ext cx="220" cy="126"/>
          </a:xfrm>
          <a:prstGeom prst="line">
            <a:avLst/>
          </a:prstGeom>
          <a:noFill/>
          <a:ln w="158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1546" name="Line 71">
            <a:extLst>
              <a:ext uri="{FF2B5EF4-FFF2-40B4-BE49-F238E27FC236}">
                <a16:creationId xmlns:a16="http://schemas.microsoft.com/office/drawing/2014/main" id="{00000000-0008-0000-0100-00000A060000}"/>
              </a:ext>
            </a:extLst>
          </xdr:cNvPr>
          <xdr:cNvSpPr>
            <a:spLocks noChangeShapeType="1"/>
          </xdr:cNvSpPr>
        </xdr:nvSpPr>
        <xdr:spPr bwMode="auto">
          <a:xfrm flipH="1">
            <a:off x="69" y="1330"/>
            <a:ext cx="48" cy="0"/>
          </a:xfrm>
          <a:prstGeom prst="line">
            <a:avLst/>
          </a:prstGeom>
          <a:noFill/>
          <a:ln w="158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1547" name="Line 84">
            <a:extLst>
              <a:ext uri="{FF2B5EF4-FFF2-40B4-BE49-F238E27FC236}">
                <a16:creationId xmlns:a16="http://schemas.microsoft.com/office/drawing/2014/main" id="{00000000-0008-0000-0100-00000B060000}"/>
              </a:ext>
            </a:extLst>
          </xdr:cNvPr>
          <xdr:cNvSpPr>
            <a:spLocks noChangeShapeType="1"/>
          </xdr:cNvSpPr>
        </xdr:nvSpPr>
        <xdr:spPr bwMode="auto">
          <a:xfrm>
            <a:off x="337" y="1204"/>
            <a:ext cx="220" cy="126"/>
          </a:xfrm>
          <a:prstGeom prst="line">
            <a:avLst/>
          </a:prstGeom>
          <a:noFill/>
          <a:ln w="158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1548" name="Line 85">
            <a:extLst>
              <a:ext uri="{FF2B5EF4-FFF2-40B4-BE49-F238E27FC236}">
                <a16:creationId xmlns:a16="http://schemas.microsoft.com/office/drawing/2014/main" id="{00000000-0008-0000-0100-00000C060000}"/>
              </a:ext>
            </a:extLst>
          </xdr:cNvPr>
          <xdr:cNvSpPr>
            <a:spLocks noChangeShapeType="1"/>
          </xdr:cNvSpPr>
        </xdr:nvSpPr>
        <xdr:spPr bwMode="auto">
          <a:xfrm flipH="1">
            <a:off x="556" y="1330"/>
            <a:ext cx="48" cy="0"/>
          </a:xfrm>
          <a:prstGeom prst="line">
            <a:avLst/>
          </a:prstGeom>
          <a:noFill/>
          <a:ln w="158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1549" name="Line 72">
            <a:extLst>
              <a:ext uri="{FF2B5EF4-FFF2-40B4-BE49-F238E27FC236}">
                <a16:creationId xmlns:a16="http://schemas.microsoft.com/office/drawing/2014/main" id="{00000000-0008-0000-0100-00000D060000}"/>
              </a:ext>
            </a:extLst>
          </xdr:cNvPr>
          <xdr:cNvSpPr>
            <a:spLocks noChangeShapeType="1"/>
          </xdr:cNvSpPr>
        </xdr:nvSpPr>
        <xdr:spPr bwMode="auto">
          <a:xfrm flipH="1">
            <a:off x="192" y="1193"/>
            <a:ext cx="145"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1097" name="Text Box 73">
            <a:extLst>
              <a:ext uri="{FF2B5EF4-FFF2-40B4-BE49-F238E27FC236}">
                <a16:creationId xmlns:a16="http://schemas.microsoft.com/office/drawing/2014/main" id="{00000000-0008-0000-0100-000049040000}"/>
              </a:ext>
            </a:extLst>
          </xdr:cNvPr>
          <xdr:cNvSpPr txBox="1">
            <a:spLocks noChangeArrowheads="1"/>
          </xdr:cNvSpPr>
        </xdr:nvSpPr>
        <xdr:spPr bwMode="auto">
          <a:xfrm>
            <a:off x="259" y="1174"/>
            <a:ext cx="10" cy="20"/>
          </a:xfrm>
          <a:prstGeom prst="rect">
            <a:avLst/>
          </a:prstGeom>
          <a:noFill/>
          <a:ln w="9525">
            <a:noFill/>
            <a:miter lim="800000"/>
            <a:headEnd/>
            <a:tailEnd/>
          </a:ln>
        </xdr:spPr>
        <xdr:txBody>
          <a:bodyPr wrap="none" lIns="27432" tIns="27432" rIns="0" bIns="0" anchor="t" upright="1">
            <a:spAutoFit/>
          </a:bodyPr>
          <a:lstStyle/>
          <a:p>
            <a:pPr algn="l" rtl="0">
              <a:defRPr sz="1000"/>
            </a:pPr>
            <a:r>
              <a:rPr lang="nb-NO" sz="1000" b="0" i="0" u="none" strike="noStrike" baseline="0">
                <a:solidFill>
                  <a:srgbClr val="000000"/>
                </a:solidFill>
                <a:latin typeface="Arial"/>
                <a:cs typeface="Arial"/>
              </a:rPr>
              <a:t>X</a:t>
            </a:r>
          </a:p>
        </xdr:txBody>
      </xdr:sp>
      <xdr:sp macro="" textlink="">
        <xdr:nvSpPr>
          <xdr:cNvPr id="1551" name="Line 74">
            <a:extLst>
              <a:ext uri="{FF2B5EF4-FFF2-40B4-BE49-F238E27FC236}">
                <a16:creationId xmlns:a16="http://schemas.microsoft.com/office/drawing/2014/main" id="{00000000-0008-0000-0100-00000F060000}"/>
              </a:ext>
            </a:extLst>
          </xdr:cNvPr>
          <xdr:cNvSpPr>
            <a:spLocks noChangeShapeType="1"/>
          </xdr:cNvSpPr>
        </xdr:nvSpPr>
        <xdr:spPr bwMode="auto">
          <a:xfrm flipV="1">
            <a:off x="227" y="1269"/>
            <a:ext cx="108"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1552" name="Line 75">
            <a:extLst>
              <a:ext uri="{FF2B5EF4-FFF2-40B4-BE49-F238E27FC236}">
                <a16:creationId xmlns:a16="http://schemas.microsoft.com/office/drawing/2014/main" id="{00000000-0008-0000-0100-000010060000}"/>
              </a:ext>
            </a:extLst>
          </xdr:cNvPr>
          <xdr:cNvSpPr>
            <a:spLocks noChangeShapeType="1"/>
          </xdr:cNvSpPr>
        </xdr:nvSpPr>
        <xdr:spPr bwMode="auto">
          <a:xfrm>
            <a:off x="119" y="1330"/>
            <a:ext cx="437"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sp macro="" textlink="">
        <xdr:nvSpPr>
          <xdr:cNvPr id="1553" name="Line 76">
            <a:extLst>
              <a:ext uri="{FF2B5EF4-FFF2-40B4-BE49-F238E27FC236}">
                <a16:creationId xmlns:a16="http://schemas.microsoft.com/office/drawing/2014/main" id="{00000000-0008-0000-0100-000011060000}"/>
              </a:ext>
            </a:extLst>
          </xdr:cNvPr>
          <xdr:cNvSpPr>
            <a:spLocks noChangeShapeType="1"/>
          </xdr:cNvSpPr>
        </xdr:nvSpPr>
        <xdr:spPr bwMode="auto">
          <a:xfrm>
            <a:off x="336" y="1205"/>
            <a:ext cx="0" cy="125"/>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1101" name="Text Box 77">
            <a:extLst>
              <a:ext uri="{FF2B5EF4-FFF2-40B4-BE49-F238E27FC236}">
                <a16:creationId xmlns:a16="http://schemas.microsoft.com/office/drawing/2014/main" id="{00000000-0008-0000-0100-00004D040000}"/>
              </a:ext>
            </a:extLst>
          </xdr:cNvPr>
          <xdr:cNvSpPr txBox="1">
            <a:spLocks noChangeArrowheads="1"/>
          </xdr:cNvSpPr>
        </xdr:nvSpPr>
        <xdr:spPr bwMode="auto">
          <a:xfrm>
            <a:off x="343" y="1258"/>
            <a:ext cx="12" cy="20"/>
          </a:xfrm>
          <a:prstGeom prst="rect">
            <a:avLst/>
          </a:prstGeom>
          <a:noFill/>
          <a:ln w="9525">
            <a:noFill/>
            <a:miter lim="800000"/>
            <a:headEnd/>
            <a:tailEnd/>
          </a:ln>
        </xdr:spPr>
        <xdr:txBody>
          <a:bodyPr wrap="none" lIns="27432" tIns="27432" rIns="0" bIns="0" anchor="t" upright="1">
            <a:spAutoFit/>
          </a:bodyPr>
          <a:lstStyle/>
          <a:p>
            <a:pPr algn="l" rtl="0">
              <a:defRPr sz="1000"/>
            </a:pPr>
            <a:r>
              <a:rPr lang="nb-NO" sz="1000" b="0" i="0" u="none" strike="noStrike" baseline="0">
                <a:solidFill>
                  <a:srgbClr val="000000"/>
                </a:solidFill>
                <a:latin typeface="Arial"/>
                <a:cs typeface="Arial"/>
              </a:rPr>
              <a:t>H</a:t>
            </a:r>
          </a:p>
        </xdr:txBody>
      </xdr:sp>
      <xdr:sp macro="" textlink="">
        <xdr:nvSpPr>
          <xdr:cNvPr id="1102" name="Text Box 78">
            <a:extLst>
              <a:ext uri="{FF2B5EF4-FFF2-40B4-BE49-F238E27FC236}">
                <a16:creationId xmlns:a16="http://schemas.microsoft.com/office/drawing/2014/main" id="{00000000-0008-0000-0100-00004E040000}"/>
              </a:ext>
            </a:extLst>
          </xdr:cNvPr>
          <xdr:cNvSpPr txBox="1">
            <a:spLocks noChangeArrowheads="1"/>
          </xdr:cNvSpPr>
        </xdr:nvSpPr>
        <xdr:spPr bwMode="auto">
          <a:xfrm>
            <a:off x="277" y="1250"/>
            <a:ext cx="19" cy="20"/>
          </a:xfrm>
          <a:prstGeom prst="rect">
            <a:avLst/>
          </a:prstGeom>
          <a:noFill/>
          <a:ln w="9525">
            <a:noFill/>
            <a:miter lim="800000"/>
            <a:headEnd/>
            <a:tailEnd/>
          </a:ln>
        </xdr:spPr>
        <xdr:txBody>
          <a:bodyPr wrap="none" lIns="27432" tIns="27432" rIns="0" bIns="0" anchor="t" upright="1">
            <a:spAutoFit/>
          </a:bodyPr>
          <a:lstStyle/>
          <a:p>
            <a:pPr algn="l" rtl="0">
              <a:defRPr sz="1000"/>
            </a:pPr>
            <a:r>
              <a:rPr lang="nb-NO" sz="1000" b="0" i="0" u="none" strike="noStrike" baseline="0">
                <a:solidFill>
                  <a:srgbClr val="000000"/>
                </a:solidFill>
                <a:latin typeface="Arial"/>
                <a:cs typeface="Arial"/>
              </a:rPr>
              <a:t>LH</a:t>
            </a:r>
          </a:p>
        </xdr:txBody>
      </xdr:sp>
      <xdr:sp macro="" textlink="">
        <xdr:nvSpPr>
          <xdr:cNvPr id="1103" name="Text Box 79">
            <a:extLst>
              <a:ext uri="{FF2B5EF4-FFF2-40B4-BE49-F238E27FC236}">
                <a16:creationId xmlns:a16="http://schemas.microsoft.com/office/drawing/2014/main" id="{00000000-0008-0000-0100-00004F040000}"/>
              </a:ext>
            </a:extLst>
          </xdr:cNvPr>
          <xdr:cNvSpPr txBox="1">
            <a:spLocks noChangeArrowheads="1"/>
          </xdr:cNvSpPr>
        </xdr:nvSpPr>
        <xdr:spPr bwMode="auto">
          <a:xfrm>
            <a:off x="231" y="1291"/>
            <a:ext cx="30" cy="20"/>
          </a:xfrm>
          <a:prstGeom prst="rect">
            <a:avLst/>
          </a:prstGeom>
          <a:noFill/>
          <a:ln w="9525">
            <a:noFill/>
            <a:miter lim="800000"/>
            <a:headEnd/>
            <a:tailEnd/>
          </a:ln>
        </xdr:spPr>
        <xdr:txBody>
          <a:bodyPr wrap="none" lIns="27432" tIns="27432" rIns="0" bIns="0" anchor="t" upright="1">
            <a:spAutoFit/>
          </a:bodyPr>
          <a:lstStyle/>
          <a:p>
            <a:pPr algn="l" rtl="0">
              <a:defRPr sz="1000"/>
            </a:pPr>
            <a:r>
              <a:rPr lang="nb-NO" sz="1000" b="0" i="0" u="none" strike="noStrike" baseline="0">
                <a:solidFill>
                  <a:srgbClr val="000000"/>
                </a:solidFill>
                <a:latin typeface="Arial"/>
                <a:cs typeface="Arial"/>
              </a:rPr>
              <a:t>0.5H</a:t>
            </a:r>
          </a:p>
        </xdr:txBody>
      </xdr:sp>
      <xdr:sp macro="" textlink="">
        <xdr:nvSpPr>
          <xdr:cNvPr id="1557" name="Line 80">
            <a:extLst>
              <a:ext uri="{FF2B5EF4-FFF2-40B4-BE49-F238E27FC236}">
                <a16:creationId xmlns:a16="http://schemas.microsoft.com/office/drawing/2014/main" id="{00000000-0008-0000-0100-000015060000}"/>
              </a:ext>
            </a:extLst>
          </xdr:cNvPr>
          <xdr:cNvSpPr>
            <a:spLocks noChangeShapeType="1"/>
          </xdr:cNvSpPr>
        </xdr:nvSpPr>
        <xdr:spPr bwMode="auto">
          <a:xfrm>
            <a:off x="177" y="1266"/>
            <a:ext cx="29"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58" name="Line 82">
            <a:extLst>
              <a:ext uri="{FF2B5EF4-FFF2-40B4-BE49-F238E27FC236}">
                <a16:creationId xmlns:a16="http://schemas.microsoft.com/office/drawing/2014/main" id="{00000000-0008-0000-0100-000016060000}"/>
              </a:ext>
            </a:extLst>
          </xdr:cNvPr>
          <xdr:cNvSpPr>
            <a:spLocks noChangeShapeType="1"/>
          </xdr:cNvSpPr>
        </xdr:nvSpPr>
        <xdr:spPr bwMode="auto">
          <a:xfrm>
            <a:off x="177" y="1266"/>
            <a:ext cx="0" cy="3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59" name="Line 83">
            <a:extLst>
              <a:ext uri="{FF2B5EF4-FFF2-40B4-BE49-F238E27FC236}">
                <a16:creationId xmlns:a16="http://schemas.microsoft.com/office/drawing/2014/main" id="{00000000-0008-0000-0100-000017060000}"/>
              </a:ext>
            </a:extLst>
          </xdr:cNvPr>
          <xdr:cNvSpPr>
            <a:spLocks noChangeShapeType="1"/>
          </xdr:cNvSpPr>
        </xdr:nvSpPr>
        <xdr:spPr bwMode="auto">
          <a:xfrm>
            <a:off x="207" y="1266"/>
            <a:ext cx="0" cy="1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60" name="Line 102">
            <a:extLst>
              <a:ext uri="{FF2B5EF4-FFF2-40B4-BE49-F238E27FC236}">
                <a16:creationId xmlns:a16="http://schemas.microsoft.com/office/drawing/2014/main" id="{00000000-0008-0000-0100-000018060000}"/>
              </a:ext>
            </a:extLst>
          </xdr:cNvPr>
          <xdr:cNvSpPr>
            <a:spLocks noChangeShapeType="1"/>
          </xdr:cNvSpPr>
        </xdr:nvSpPr>
        <xdr:spPr bwMode="auto">
          <a:xfrm flipH="1">
            <a:off x="192" y="1156"/>
            <a:ext cx="0" cy="101"/>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sp macro="" textlink="">
        <xdr:nvSpPr>
          <xdr:cNvPr id="1561" name="Line 103">
            <a:extLst>
              <a:ext uri="{FF2B5EF4-FFF2-40B4-BE49-F238E27FC236}">
                <a16:creationId xmlns:a16="http://schemas.microsoft.com/office/drawing/2014/main" id="{00000000-0008-0000-0100-000019060000}"/>
              </a:ext>
            </a:extLst>
          </xdr:cNvPr>
          <xdr:cNvSpPr>
            <a:spLocks noChangeShapeType="1"/>
          </xdr:cNvSpPr>
        </xdr:nvSpPr>
        <xdr:spPr bwMode="auto">
          <a:xfrm flipH="1">
            <a:off x="337" y="1155"/>
            <a:ext cx="0" cy="47"/>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685800</xdr:colOff>
      <xdr:row>51</xdr:row>
      <xdr:rowOff>66675</xdr:rowOff>
    </xdr:from>
    <xdr:to>
      <xdr:col>8</xdr:col>
      <xdr:colOff>476250</xdr:colOff>
      <xdr:row>61</xdr:row>
      <xdr:rowOff>104775</xdr:rowOff>
    </xdr:to>
    <xdr:grpSp>
      <xdr:nvGrpSpPr>
        <xdr:cNvPr id="1510" name="Group 128">
          <a:extLst>
            <a:ext uri="{FF2B5EF4-FFF2-40B4-BE49-F238E27FC236}">
              <a16:creationId xmlns:a16="http://schemas.microsoft.com/office/drawing/2014/main" id="{00000000-0008-0000-0100-0000E6050000}"/>
            </a:ext>
          </a:extLst>
        </xdr:cNvPr>
        <xdr:cNvGrpSpPr>
          <a:grpSpLocks/>
        </xdr:cNvGrpSpPr>
      </xdr:nvGrpSpPr>
      <xdr:grpSpPr bwMode="auto">
        <a:xfrm>
          <a:off x="685800" y="8505825"/>
          <a:ext cx="5886450" cy="1657350"/>
          <a:chOff x="72" y="891"/>
          <a:chExt cx="618" cy="174"/>
        </a:xfrm>
      </xdr:grpSpPr>
      <xdr:sp macro="" textlink="">
        <xdr:nvSpPr>
          <xdr:cNvPr id="1528" name="Line 51">
            <a:extLst>
              <a:ext uri="{FF2B5EF4-FFF2-40B4-BE49-F238E27FC236}">
                <a16:creationId xmlns:a16="http://schemas.microsoft.com/office/drawing/2014/main" id="{00000000-0008-0000-0100-0000F8050000}"/>
              </a:ext>
            </a:extLst>
          </xdr:cNvPr>
          <xdr:cNvSpPr>
            <a:spLocks noChangeShapeType="1"/>
          </xdr:cNvSpPr>
        </xdr:nvSpPr>
        <xdr:spPr bwMode="auto">
          <a:xfrm>
            <a:off x="340" y="939"/>
            <a:ext cx="316" cy="0"/>
          </a:xfrm>
          <a:prstGeom prst="line">
            <a:avLst/>
          </a:prstGeom>
          <a:noFill/>
          <a:ln w="158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1529" name="Line 53">
            <a:extLst>
              <a:ext uri="{FF2B5EF4-FFF2-40B4-BE49-F238E27FC236}">
                <a16:creationId xmlns:a16="http://schemas.microsoft.com/office/drawing/2014/main" id="{00000000-0008-0000-0100-0000F9050000}"/>
              </a:ext>
            </a:extLst>
          </xdr:cNvPr>
          <xdr:cNvSpPr>
            <a:spLocks noChangeShapeType="1"/>
          </xdr:cNvSpPr>
        </xdr:nvSpPr>
        <xdr:spPr bwMode="auto">
          <a:xfrm flipH="1">
            <a:off x="120" y="939"/>
            <a:ext cx="220" cy="126"/>
          </a:xfrm>
          <a:prstGeom prst="line">
            <a:avLst/>
          </a:prstGeom>
          <a:noFill/>
          <a:ln w="158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1530" name="Line 54">
            <a:extLst>
              <a:ext uri="{FF2B5EF4-FFF2-40B4-BE49-F238E27FC236}">
                <a16:creationId xmlns:a16="http://schemas.microsoft.com/office/drawing/2014/main" id="{00000000-0008-0000-0100-0000FA050000}"/>
              </a:ext>
            </a:extLst>
          </xdr:cNvPr>
          <xdr:cNvSpPr>
            <a:spLocks noChangeShapeType="1"/>
          </xdr:cNvSpPr>
        </xdr:nvSpPr>
        <xdr:spPr bwMode="auto">
          <a:xfrm flipH="1">
            <a:off x="72" y="1065"/>
            <a:ext cx="48" cy="0"/>
          </a:xfrm>
          <a:prstGeom prst="line">
            <a:avLst/>
          </a:prstGeom>
          <a:noFill/>
          <a:ln w="158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1531" name="Line 57">
            <a:extLst>
              <a:ext uri="{FF2B5EF4-FFF2-40B4-BE49-F238E27FC236}">
                <a16:creationId xmlns:a16="http://schemas.microsoft.com/office/drawing/2014/main" id="{00000000-0008-0000-0100-0000FB050000}"/>
              </a:ext>
            </a:extLst>
          </xdr:cNvPr>
          <xdr:cNvSpPr>
            <a:spLocks noChangeShapeType="1"/>
          </xdr:cNvSpPr>
        </xdr:nvSpPr>
        <xdr:spPr bwMode="auto">
          <a:xfrm flipV="1">
            <a:off x="230" y="1004"/>
            <a:ext cx="108"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1532" name="Line 58">
            <a:extLst>
              <a:ext uri="{FF2B5EF4-FFF2-40B4-BE49-F238E27FC236}">
                <a16:creationId xmlns:a16="http://schemas.microsoft.com/office/drawing/2014/main" id="{00000000-0008-0000-0100-0000FC050000}"/>
              </a:ext>
            </a:extLst>
          </xdr:cNvPr>
          <xdr:cNvSpPr>
            <a:spLocks noChangeShapeType="1"/>
          </xdr:cNvSpPr>
        </xdr:nvSpPr>
        <xdr:spPr bwMode="auto">
          <a:xfrm>
            <a:off x="122" y="1065"/>
            <a:ext cx="568"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sp macro="" textlink="">
        <xdr:nvSpPr>
          <xdr:cNvPr id="1533" name="Line 59">
            <a:extLst>
              <a:ext uri="{FF2B5EF4-FFF2-40B4-BE49-F238E27FC236}">
                <a16:creationId xmlns:a16="http://schemas.microsoft.com/office/drawing/2014/main" id="{00000000-0008-0000-0100-0000FD050000}"/>
              </a:ext>
            </a:extLst>
          </xdr:cNvPr>
          <xdr:cNvSpPr>
            <a:spLocks noChangeShapeType="1"/>
          </xdr:cNvSpPr>
        </xdr:nvSpPr>
        <xdr:spPr bwMode="auto">
          <a:xfrm>
            <a:off x="339" y="940"/>
            <a:ext cx="0" cy="125"/>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1084" name="Text Box 60">
            <a:extLst>
              <a:ext uri="{FF2B5EF4-FFF2-40B4-BE49-F238E27FC236}">
                <a16:creationId xmlns:a16="http://schemas.microsoft.com/office/drawing/2014/main" id="{00000000-0008-0000-0100-00003C040000}"/>
              </a:ext>
            </a:extLst>
          </xdr:cNvPr>
          <xdr:cNvSpPr txBox="1">
            <a:spLocks noChangeArrowheads="1"/>
          </xdr:cNvSpPr>
        </xdr:nvSpPr>
        <xdr:spPr bwMode="auto">
          <a:xfrm>
            <a:off x="345" y="993"/>
            <a:ext cx="12" cy="20"/>
          </a:xfrm>
          <a:prstGeom prst="rect">
            <a:avLst/>
          </a:prstGeom>
          <a:noFill/>
          <a:ln w="9525">
            <a:noFill/>
            <a:miter lim="800000"/>
            <a:headEnd/>
            <a:tailEnd/>
          </a:ln>
        </xdr:spPr>
        <xdr:txBody>
          <a:bodyPr wrap="none" lIns="27432" tIns="27432" rIns="0" bIns="0" anchor="t" upright="1">
            <a:spAutoFit/>
          </a:bodyPr>
          <a:lstStyle/>
          <a:p>
            <a:pPr algn="l" rtl="0">
              <a:defRPr sz="1000"/>
            </a:pPr>
            <a:r>
              <a:rPr lang="nb-NO" sz="1000" b="0" i="0" u="none" strike="noStrike" baseline="0">
                <a:solidFill>
                  <a:srgbClr val="000000"/>
                </a:solidFill>
                <a:latin typeface="Arial"/>
                <a:cs typeface="Arial"/>
              </a:rPr>
              <a:t>H</a:t>
            </a:r>
          </a:p>
        </xdr:txBody>
      </xdr:sp>
      <xdr:sp macro="" textlink="">
        <xdr:nvSpPr>
          <xdr:cNvPr id="1085" name="Text Box 61">
            <a:extLst>
              <a:ext uri="{FF2B5EF4-FFF2-40B4-BE49-F238E27FC236}">
                <a16:creationId xmlns:a16="http://schemas.microsoft.com/office/drawing/2014/main" id="{00000000-0008-0000-0100-00003D040000}"/>
              </a:ext>
            </a:extLst>
          </xdr:cNvPr>
          <xdr:cNvSpPr txBox="1">
            <a:spLocks noChangeArrowheads="1"/>
          </xdr:cNvSpPr>
        </xdr:nvSpPr>
        <xdr:spPr bwMode="auto">
          <a:xfrm>
            <a:off x="280" y="985"/>
            <a:ext cx="19" cy="20"/>
          </a:xfrm>
          <a:prstGeom prst="rect">
            <a:avLst/>
          </a:prstGeom>
          <a:noFill/>
          <a:ln w="9525">
            <a:noFill/>
            <a:miter lim="800000"/>
            <a:headEnd/>
            <a:tailEnd/>
          </a:ln>
        </xdr:spPr>
        <xdr:txBody>
          <a:bodyPr wrap="none" lIns="27432" tIns="27432" rIns="0" bIns="0" anchor="t" upright="1">
            <a:spAutoFit/>
          </a:bodyPr>
          <a:lstStyle/>
          <a:p>
            <a:pPr algn="l" rtl="0">
              <a:defRPr sz="1000"/>
            </a:pPr>
            <a:r>
              <a:rPr lang="nb-NO" sz="1000" b="0" i="0" u="none" strike="noStrike" baseline="0">
                <a:solidFill>
                  <a:srgbClr val="000000"/>
                </a:solidFill>
                <a:latin typeface="Arial"/>
                <a:cs typeface="Arial"/>
              </a:rPr>
              <a:t>LH</a:t>
            </a:r>
          </a:p>
        </xdr:txBody>
      </xdr:sp>
      <xdr:sp macro="" textlink="">
        <xdr:nvSpPr>
          <xdr:cNvPr id="1086" name="Text Box 62">
            <a:extLst>
              <a:ext uri="{FF2B5EF4-FFF2-40B4-BE49-F238E27FC236}">
                <a16:creationId xmlns:a16="http://schemas.microsoft.com/office/drawing/2014/main" id="{00000000-0008-0000-0100-00003E040000}"/>
              </a:ext>
            </a:extLst>
          </xdr:cNvPr>
          <xdr:cNvSpPr txBox="1">
            <a:spLocks noChangeArrowheads="1"/>
          </xdr:cNvSpPr>
        </xdr:nvSpPr>
        <xdr:spPr bwMode="auto">
          <a:xfrm>
            <a:off x="233" y="1025"/>
            <a:ext cx="30" cy="20"/>
          </a:xfrm>
          <a:prstGeom prst="rect">
            <a:avLst/>
          </a:prstGeom>
          <a:noFill/>
          <a:ln w="9525">
            <a:noFill/>
            <a:miter lim="800000"/>
            <a:headEnd/>
            <a:tailEnd/>
          </a:ln>
        </xdr:spPr>
        <xdr:txBody>
          <a:bodyPr wrap="none" lIns="27432" tIns="27432" rIns="0" bIns="0" anchor="t" upright="1">
            <a:spAutoFit/>
          </a:bodyPr>
          <a:lstStyle/>
          <a:p>
            <a:pPr algn="l" rtl="0">
              <a:defRPr sz="1000"/>
            </a:pPr>
            <a:r>
              <a:rPr lang="nb-NO" sz="1000" b="0" i="0" u="none" strike="noStrike" baseline="0">
                <a:solidFill>
                  <a:srgbClr val="000000"/>
                </a:solidFill>
                <a:latin typeface="Arial"/>
                <a:cs typeface="Arial"/>
              </a:rPr>
              <a:t>0.5H</a:t>
            </a:r>
          </a:p>
        </xdr:txBody>
      </xdr:sp>
      <xdr:sp macro="" textlink="">
        <xdr:nvSpPr>
          <xdr:cNvPr id="1537" name="Line 63">
            <a:extLst>
              <a:ext uri="{FF2B5EF4-FFF2-40B4-BE49-F238E27FC236}">
                <a16:creationId xmlns:a16="http://schemas.microsoft.com/office/drawing/2014/main" id="{00000000-0008-0000-0100-000001060000}"/>
              </a:ext>
            </a:extLst>
          </xdr:cNvPr>
          <xdr:cNvSpPr>
            <a:spLocks noChangeShapeType="1"/>
          </xdr:cNvSpPr>
        </xdr:nvSpPr>
        <xdr:spPr bwMode="auto">
          <a:xfrm flipV="1">
            <a:off x="180" y="1001"/>
            <a:ext cx="0" cy="3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38" name="Line 64">
            <a:extLst>
              <a:ext uri="{FF2B5EF4-FFF2-40B4-BE49-F238E27FC236}">
                <a16:creationId xmlns:a16="http://schemas.microsoft.com/office/drawing/2014/main" id="{00000000-0008-0000-0100-000002060000}"/>
              </a:ext>
            </a:extLst>
          </xdr:cNvPr>
          <xdr:cNvSpPr>
            <a:spLocks noChangeShapeType="1"/>
          </xdr:cNvSpPr>
        </xdr:nvSpPr>
        <xdr:spPr bwMode="auto">
          <a:xfrm>
            <a:off x="180" y="1001"/>
            <a:ext cx="29"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39" name="Line 65">
            <a:extLst>
              <a:ext uri="{FF2B5EF4-FFF2-40B4-BE49-F238E27FC236}">
                <a16:creationId xmlns:a16="http://schemas.microsoft.com/office/drawing/2014/main" id="{00000000-0008-0000-0100-000003060000}"/>
              </a:ext>
            </a:extLst>
          </xdr:cNvPr>
          <xdr:cNvSpPr>
            <a:spLocks noChangeShapeType="1"/>
          </xdr:cNvSpPr>
        </xdr:nvSpPr>
        <xdr:spPr bwMode="auto">
          <a:xfrm>
            <a:off x="209" y="1002"/>
            <a:ext cx="0" cy="1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40" name="Line 67">
            <a:extLst>
              <a:ext uri="{FF2B5EF4-FFF2-40B4-BE49-F238E27FC236}">
                <a16:creationId xmlns:a16="http://schemas.microsoft.com/office/drawing/2014/main" id="{00000000-0008-0000-0100-000004060000}"/>
              </a:ext>
            </a:extLst>
          </xdr:cNvPr>
          <xdr:cNvSpPr>
            <a:spLocks noChangeShapeType="1"/>
          </xdr:cNvSpPr>
        </xdr:nvSpPr>
        <xdr:spPr bwMode="auto">
          <a:xfrm>
            <a:off x="229" y="1005"/>
            <a:ext cx="0" cy="59"/>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1541" name="Line 105">
            <a:extLst>
              <a:ext uri="{FF2B5EF4-FFF2-40B4-BE49-F238E27FC236}">
                <a16:creationId xmlns:a16="http://schemas.microsoft.com/office/drawing/2014/main" id="{00000000-0008-0000-0100-000005060000}"/>
              </a:ext>
            </a:extLst>
          </xdr:cNvPr>
          <xdr:cNvSpPr>
            <a:spLocks noChangeShapeType="1"/>
          </xdr:cNvSpPr>
        </xdr:nvSpPr>
        <xdr:spPr bwMode="auto">
          <a:xfrm flipH="1">
            <a:off x="195" y="928"/>
            <a:ext cx="145"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1130" name="Text Box 106">
            <a:extLst>
              <a:ext uri="{FF2B5EF4-FFF2-40B4-BE49-F238E27FC236}">
                <a16:creationId xmlns:a16="http://schemas.microsoft.com/office/drawing/2014/main" id="{00000000-0008-0000-0100-00006A040000}"/>
              </a:ext>
            </a:extLst>
          </xdr:cNvPr>
          <xdr:cNvSpPr txBox="1">
            <a:spLocks noChangeArrowheads="1"/>
          </xdr:cNvSpPr>
        </xdr:nvSpPr>
        <xdr:spPr bwMode="auto">
          <a:xfrm>
            <a:off x="263" y="909"/>
            <a:ext cx="10" cy="20"/>
          </a:xfrm>
          <a:prstGeom prst="rect">
            <a:avLst/>
          </a:prstGeom>
          <a:noFill/>
          <a:ln w="9525">
            <a:noFill/>
            <a:miter lim="800000"/>
            <a:headEnd/>
            <a:tailEnd/>
          </a:ln>
        </xdr:spPr>
        <xdr:txBody>
          <a:bodyPr wrap="none" lIns="27432" tIns="27432" rIns="0" bIns="0" anchor="t" upright="1">
            <a:spAutoFit/>
          </a:bodyPr>
          <a:lstStyle/>
          <a:p>
            <a:pPr algn="l" rtl="0">
              <a:defRPr sz="1000"/>
            </a:pPr>
            <a:r>
              <a:rPr lang="nb-NO" sz="1000" b="0" i="0" u="none" strike="noStrike" baseline="0">
                <a:solidFill>
                  <a:srgbClr val="000000"/>
                </a:solidFill>
                <a:latin typeface="Arial"/>
                <a:cs typeface="Arial"/>
              </a:rPr>
              <a:t>X</a:t>
            </a:r>
          </a:p>
        </xdr:txBody>
      </xdr:sp>
      <xdr:sp macro="" textlink="">
        <xdr:nvSpPr>
          <xdr:cNvPr id="1543" name="Line 107">
            <a:extLst>
              <a:ext uri="{FF2B5EF4-FFF2-40B4-BE49-F238E27FC236}">
                <a16:creationId xmlns:a16="http://schemas.microsoft.com/office/drawing/2014/main" id="{00000000-0008-0000-0100-000007060000}"/>
              </a:ext>
            </a:extLst>
          </xdr:cNvPr>
          <xdr:cNvSpPr>
            <a:spLocks noChangeShapeType="1"/>
          </xdr:cNvSpPr>
        </xdr:nvSpPr>
        <xdr:spPr bwMode="auto">
          <a:xfrm flipH="1">
            <a:off x="195" y="891"/>
            <a:ext cx="0" cy="101"/>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sp macro="" textlink="">
        <xdr:nvSpPr>
          <xdr:cNvPr id="1544" name="Line 108">
            <a:extLst>
              <a:ext uri="{FF2B5EF4-FFF2-40B4-BE49-F238E27FC236}">
                <a16:creationId xmlns:a16="http://schemas.microsoft.com/office/drawing/2014/main" id="{00000000-0008-0000-0100-000008060000}"/>
              </a:ext>
            </a:extLst>
          </xdr:cNvPr>
          <xdr:cNvSpPr>
            <a:spLocks noChangeShapeType="1"/>
          </xdr:cNvSpPr>
        </xdr:nvSpPr>
        <xdr:spPr bwMode="auto">
          <a:xfrm flipH="1">
            <a:off x="340" y="890"/>
            <a:ext cx="0" cy="47"/>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695325</xdr:colOff>
      <xdr:row>35</xdr:row>
      <xdr:rowOff>47625</xdr:rowOff>
    </xdr:from>
    <xdr:to>
      <xdr:col>8</xdr:col>
      <xdr:colOff>485775</xdr:colOff>
      <xdr:row>46</xdr:row>
      <xdr:rowOff>85725</xdr:rowOff>
    </xdr:to>
    <xdr:grpSp>
      <xdr:nvGrpSpPr>
        <xdr:cNvPr id="1511" name="Group 127">
          <a:extLst>
            <a:ext uri="{FF2B5EF4-FFF2-40B4-BE49-F238E27FC236}">
              <a16:creationId xmlns:a16="http://schemas.microsoft.com/office/drawing/2014/main" id="{00000000-0008-0000-0100-0000E7050000}"/>
            </a:ext>
          </a:extLst>
        </xdr:cNvPr>
        <xdr:cNvGrpSpPr>
          <a:grpSpLocks/>
        </xdr:cNvGrpSpPr>
      </xdr:nvGrpSpPr>
      <xdr:grpSpPr bwMode="auto">
        <a:xfrm>
          <a:off x="695325" y="5895975"/>
          <a:ext cx="5886450" cy="1819275"/>
          <a:chOff x="73" y="617"/>
          <a:chExt cx="618" cy="191"/>
        </a:xfrm>
      </xdr:grpSpPr>
      <xdr:sp macro="" textlink="">
        <xdr:nvSpPr>
          <xdr:cNvPr id="1513" name="Line 25">
            <a:extLst>
              <a:ext uri="{FF2B5EF4-FFF2-40B4-BE49-F238E27FC236}">
                <a16:creationId xmlns:a16="http://schemas.microsoft.com/office/drawing/2014/main" id="{00000000-0008-0000-0100-0000E9050000}"/>
              </a:ext>
            </a:extLst>
          </xdr:cNvPr>
          <xdr:cNvSpPr>
            <a:spLocks noChangeShapeType="1"/>
          </xdr:cNvSpPr>
        </xdr:nvSpPr>
        <xdr:spPr bwMode="auto">
          <a:xfrm>
            <a:off x="341" y="682"/>
            <a:ext cx="316" cy="0"/>
          </a:xfrm>
          <a:prstGeom prst="line">
            <a:avLst/>
          </a:prstGeom>
          <a:noFill/>
          <a:ln w="158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1514" name="Rectangle 26">
            <a:extLst>
              <a:ext uri="{FF2B5EF4-FFF2-40B4-BE49-F238E27FC236}">
                <a16:creationId xmlns:a16="http://schemas.microsoft.com/office/drawing/2014/main" id="{00000000-0008-0000-0100-0000EA050000}"/>
              </a:ext>
            </a:extLst>
          </xdr:cNvPr>
          <xdr:cNvSpPr>
            <a:spLocks noChangeArrowheads="1"/>
          </xdr:cNvSpPr>
        </xdr:nvSpPr>
        <xdr:spPr bwMode="auto">
          <a:xfrm>
            <a:off x="573" y="661"/>
            <a:ext cx="40" cy="20"/>
          </a:xfrm>
          <a:prstGeom prst="rect">
            <a:avLst/>
          </a:prstGeom>
          <a:solidFill>
            <a:srgbClr val="FFFFFF"/>
          </a:solidFill>
          <a:ln w="9525">
            <a:solidFill>
              <a:srgbClr val="000000"/>
            </a:solidFill>
            <a:miter lim="800000"/>
            <a:headEnd/>
            <a:tailEnd/>
          </a:ln>
        </xdr:spPr>
      </xdr:sp>
      <xdr:sp macro="" textlink="">
        <xdr:nvSpPr>
          <xdr:cNvPr id="1515" name="Line 27">
            <a:extLst>
              <a:ext uri="{FF2B5EF4-FFF2-40B4-BE49-F238E27FC236}">
                <a16:creationId xmlns:a16="http://schemas.microsoft.com/office/drawing/2014/main" id="{00000000-0008-0000-0100-0000EB050000}"/>
              </a:ext>
            </a:extLst>
          </xdr:cNvPr>
          <xdr:cNvSpPr>
            <a:spLocks noChangeShapeType="1"/>
          </xdr:cNvSpPr>
        </xdr:nvSpPr>
        <xdr:spPr bwMode="auto">
          <a:xfrm flipH="1">
            <a:off x="121" y="682"/>
            <a:ext cx="220" cy="126"/>
          </a:xfrm>
          <a:prstGeom prst="line">
            <a:avLst/>
          </a:prstGeom>
          <a:noFill/>
          <a:ln w="158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1516" name="Line 29">
            <a:extLst>
              <a:ext uri="{FF2B5EF4-FFF2-40B4-BE49-F238E27FC236}">
                <a16:creationId xmlns:a16="http://schemas.microsoft.com/office/drawing/2014/main" id="{00000000-0008-0000-0100-0000EC050000}"/>
              </a:ext>
            </a:extLst>
          </xdr:cNvPr>
          <xdr:cNvSpPr>
            <a:spLocks noChangeShapeType="1"/>
          </xdr:cNvSpPr>
        </xdr:nvSpPr>
        <xdr:spPr bwMode="auto">
          <a:xfrm flipH="1">
            <a:off x="73" y="808"/>
            <a:ext cx="48" cy="0"/>
          </a:xfrm>
          <a:prstGeom prst="line">
            <a:avLst/>
          </a:prstGeom>
          <a:noFill/>
          <a:ln w="158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1517" name="Line 30">
            <a:extLst>
              <a:ext uri="{FF2B5EF4-FFF2-40B4-BE49-F238E27FC236}">
                <a16:creationId xmlns:a16="http://schemas.microsoft.com/office/drawing/2014/main" id="{00000000-0008-0000-0100-0000ED050000}"/>
              </a:ext>
            </a:extLst>
          </xdr:cNvPr>
          <xdr:cNvSpPr>
            <a:spLocks noChangeShapeType="1"/>
          </xdr:cNvSpPr>
        </xdr:nvSpPr>
        <xdr:spPr bwMode="auto">
          <a:xfrm flipV="1">
            <a:off x="341" y="640"/>
            <a:ext cx="251"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1055" name="Text Box 31">
            <a:extLst>
              <a:ext uri="{FF2B5EF4-FFF2-40B4-BE49-F238E27FC236}">
                <a16:creationId xmlns:a16="http://schemas.microsoft.com/office/drawing/2014/main" id="{00000000-0008-0000-0100-00001F040000}"/>
              </a:ext>
            </a:extLst>
          </xdr:cNvPr>
          <xdr:cNvSpPr txBox="1">
            <a:spLocks noChangeArrowheads="1"/>
          </xdr:cNvSpPr>
        </xdr:nvSpPr>
        <xdr:spPr bwMode="auto">
          <a:xfrm>
            <a:off x="465" y="617"/>
            <a:ext cx="10" cy="20"/>
          </a:xfrm>
          <a:prstGeom prst="rect">
            <a:avLst/>
          </a:prstGeom>
          <a:noFill/>
          <a:ln w="9525">
            <a:noFill/>
            <a:miter lim="800000"/>
            <a:headEnd/>
            <a:tailEnd/>
          </a:ln>
        </xdr:spPr>
        <xdr:txBody>
          <a:bodyPr wrap="none" lIns="27432" tIns="27432" rIns="0" bIns="0" anchor="t" upright="1">
            <a:spAutoFit/>
          </a:bodyPr>
          <a:lstStyle/>
          <a:p>
            <a:pPr algn="l" rtl="0">
              <a:defRPr sz="1000"/>
            </a:pPr>
            <a:r>
              <a:rPr lang="nb-NO" sz="1000" b="0" i="0" u="none" strike="noStrike" baseline="0">
                <a:solidFill>
                  <a:srgbClr val="000000"/>
                </a:solidFill>
                <a:latin typeface="Arial"/>
                <a:cs typeface="Arial"/>
              </a:rPr>
              <a:t>X</a:t>
            </a:r>
          </a:p>
        </xdr:txBody>
      </xdr:sp>
      <xdr:sp macro="" textlink="">
        <xdr:nvSpPr>
          <xdr:cNvPr id="1519" name="Line 32">
            <a:extLst>
              <a:ext uri="{FF2B5EF4-FFF2-40B4-BE49-F238E27FC236}">
                <a16:creationId xmlns:a16="http://schemas.microsoft.com/office/drawing/2014/main" id="{00000000-0008-0000-0100-0000EF050000}"/>
              </a:ext>
            </a:extLst>
          </xdr:cNvPr>
          <xdr:cNvSpPr>
            <a:spLocks noChangeShapeType="1"/>
          </xdr:cNvSpPr>
        </xdr:nvSpPr>
        <xdr:spPr bwMode="auto">
          <a:xfrm flipV="1">
            <a:off x="231" y="747"/>
            <a:ext cx="108"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1520" name="Line 34">
            <a:extLst>
              <a:ext uri="{FF2B5EF4-FFF2-40B4-BE49-F238E27FC236}">
                <a16:creationId xmlns:a16="http://schemas.microsoft.com/office/drawing/2014/main" id="{00000000-0008-0000-0100-0000F0050000}"/>
              </a:ext>
            </a:extLst>
          </xdr:cNvPr>
          <xdr:cNvSpPr>
            <a:spLocks noChangeShapeType="1"/>
          </xdr:cNvSpPr>
        </xdr:nvSpPr>
        <xdr:spPr bwMode="auto">
          <a:xfrm>
            <a:off x="123" y="808"/>
            <a:ext cx="568"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sp macro="" textlink="">
        <xdr:nvSpPr>
          <xdr:cNvPr id="1521" name="Line 35">
            <a:extLst>
              <a:ext uri="{FF2B5EF4-FFF2-40B4-BE49-F238E27FC236}">
                <a16:creationId xmlns:a16="http://schemas.microsoft.com/office/drawing/2014/main" id="{00000000-0008-0000-0100-0000F1050000}"/>
              </a:ext>
            </a:extLst>
          </xdr:cNvPr>
          <xdr:cNvSpPr>
            <a:spLocks noChangeShapeType="1"/>
          </xdr:cNvSpPr>
        </xdr:nvSpPr>
        <xdr:spPr bwMode="auto">
          <a:xfrm>
            <a:off x="340" y="683"/>
            <a:ext cx="0" cy="125"/>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1069" name="Text Box 45">
            <a:extLst>
              <a:ext uri="{FF2B5EF4-FFF2-40B4-BE49-F238E27FC236}">
                <a16:creationId xmlns:a16="http://schemas.microsoft.com/office/drawing/2014/main" id="{00000000-0008-0000-0100-00002D040000}"/>
              </a:ext>
            </a:extLst>
          </xdr:cNvPr>
          <xdr:cNvSpPr txBox="1">
            <a:spLocks noChangeArrowheads="1"/>
          </xdr:cNvSpPr>
        </xdr:nvSpPr>
        <xdr:spPr bwMode="auto">
          <a:xfrm>
            <a:off x="347" y="736"/>
            <a:ext cx="12" cy="20"/>
          </a:xfrm>
          <a:prstGeom prst="rect">
            <a:avLst/>
          </a:prstGeom>
          <a:noFill/>
          <a:ln w="9525">
            <a:noFill/>
            <a:miter lim="800000"/>
            <a:headEnd/>
            <a:tailEnd/>
          </a:ln>
        </xdr:spPr>
        <xdr:txBody>
          <a:bodyPr wrap="none" lIns="27432" tIns="27432" rIns="0" bIns="0" anchor="t" upright="1">
            <a:spAutoFit/>
          </a:bodyPr>
          <a:lstStyle/>
          <a:p>
            <a:pPr algn="l" rtl="0">
              <a:defRPr sz="1000"/>
            </a:pPr>
            <a:r>
              <a:rPr lang="nb-NO" sz="1000" b="0" i="0" u="none" strike="noStrike" baseline="0">
                <a:solidFill>
                  <a:srgbClr val="000000"/>
                </a:solidFill>
                <a:latin typeface="Arial"/>
                <a:cs typeface="Arial"/>
              </a:rPr>
              <a:t>H</a:t>
            </a:r>
          </a:p>
        </xdr:txBody>
      </xdr:sp>
      <xdr:sp macro="" textlink="">
        <xdr:nvSpPr>
          <xdr:cNvPr id="1070" name="Text Box 46">
            <a:extLst>
              <a:ext uri="{FF2B5EF4-FFF2-40B4-BE49-F238E27FC236}">
                <a16:creationId xmlns:a16="http://schemas.microsoft.com/office/drawing/2014/main" id="{00000000-0008-0000-0100-00002E040000}"/>
              </a:ext>
            </a:extLst>
          </xdr:cNvPr>
          <xdr:cNvSpPr txBox="1">
            <a:spLocks noChangeArrowheads="1"/>
          </xdr:cNvSpPr>
        </xdr:nvSpPr>
        <xdr:spPr bwMode="auto">
          <a:xfrm>
            <a:off x="281" y="730"/>
            <a:ext cx="19" cy="20"/>
          </a:xfrm>
          <a:prstGeom prst="rect">
            <a:avLst/>
          </a:prstGeom>
          <a:noFill/>
          <a:ln w="9525">
            <a:noFill/>
            <a:miter lim="800000"/>
            <a:headEnd/>
            <a:tailEnd/>
          </a:ln>
        </xdr:spPr>
        <xdr:txBody>
          <a:bodyPr wrap="none" lIns="27432" tIns="27432" rIns="0" bIns="0" anchor="t" upright="1">
            <a:spAutoFit/>
          </a:bodyPr>
          <a:lstStyle/>
          <a:p>
            <a:pPr algn="l" rtl="0">
              <a:defRPr sz="1000"/>
            </a:pPr>
            <a:r>
              <a:rPr lang="nb-NO" sz="1000" b="0" i="0" u="none" strike="noStrike" baseline="0">
                <a:solidFill>
                  <a:srgbClr val="000000"/>
                </a:solidFill>
                <a:latin typeface="Arial"/>
                <a:cs typeface="Arial"/>
              </a:rPr>
              <a:t>LH</a:t>
            </a:r>
          </a:p>
        </xdr:txBody>
      </xdr:sp>
      <xdr:sp macro="" textlink="">
        <xdr:nvSpPr>
          <xdr:cNvPr id="1524" name="Line 47">
            <a:extLst>
              <a:ext uri="{FF2B5EF4-FFF2-40B4-BE49-F238E27FC236}">
                <a16:creationId xmlns:a16="http://schemas.microsoft.com/office/drawing/2014/main" id="{00000000-0008-0000-0100-0000F4050000}"/>
              </a:ext>
            </a:extLst>
          </xdr:cNvPr>
          <xdr:cNvSpPr>
            <a:spLocks noChangeShapeType="1"/>
          </xdr:cNvSpPr>
        </xdr:nvSpPr>
        <xdr:spPr bwMode="auto">
          <a:xfrm>
            <a:off x="231" y="747"/>
            <a:ext cx="0" cy="59"/>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1072" name="Text Box 48">
            <a:extLst>
              <a:ext uri="{FF2B5EF4-FFF2-40B4-BE49-F238E27FC236}">
                <a16:creationId xmlns:a16="http://schemas.microsoft.com/office/drawing/2014/main" id="{00000000-0008-0000-0100-000030040000}"/>
              </a:ext>
            </a:extLst>
          </xdr:cNvPr>
          <xdr:cNvSpPr txBox="1">
            <a:spLocks noChangeArrowheads="1"/>
          </xdr:cNvSpPr>
        </xdr:nvSpPr>
        <xdr:spPr bwMode="auto">
          <a:xfrm>
            <a:off x="235" y="769"/>
            <a:ext cx="30" cy="20"/>
          </a:xfrm>
          <a:prstGeom prst="rect">
            <a:avLst/>
          </a:prstGeom>
          <a:noFill/>
          <a:ln w="9525">
            <a:noFill/>
            <a:miter lim="800000"/>
            <a:headEnd/>
            <a:tailEnd/>
          </a:ln>
        </xdr:spPr>
        <xdr:txBody>
          <a:bodyPr wrap="none" lIns="27432" tIns="27432" rIns="0" bIns="0" anchor="t" upright="1">
            <a:spAutoFit/>
          </a:bodyPr>
          <a:lstStyle/>
          <a:p>
            <a:pPr algn="l" rtl="0">
              <a:defRPr sz="1000"/>
            </a:pPr>
            <a:r>
              <a:rPr lang="nb-NO" sz="1000" b="0" i="0" u="none" strike="noStrike" baseline="0">
                <a:solidFill>
                  <a:srgbClr val="000000"/>
                </a:solidFill>
                <a:latin typeface="Arial"/>
                <a:cs typeface="Arial"/>
              </a:rPr>
              <a:t>0.5H</a:t>
            </a:r>
          </a:p>
        </xdr:txBody>
      </xdr:sp>
      <xdr:sp macro="" textlink="">
        <xdr:nvSpPr>
          <xdr:cNvPr id="1526" name="Line 109">
            <a:extLst>
              <a:ext uri="{FF2B5EF4-FFF2-40B4-BE49-F238E27FC236}">
                <a16:creationId xmlns:a16="http://schemas.microsoft.com/office/drawing/2014/main" id="{00000000-0008-0000-0100-0000F6050000}"/>
              </a:ext>
            </a:extLst>
          </xdr:cNvPr>
          <xdr:cNvSpPr>
            <a:spLocks noChangeShapeType="1"/>
          </xdr:cNvSpPr>
        </xdr:nvSpPr>
        <xdr:spPr bwMode="auto">
          <a:xfrm flipH="1">
            <a:off x="341" y="623"/>
            <a:ext cx="0" cy="53"/>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sp macro="" textlink="">
        <xdr:nvSpPr>
          <xdr:cNvPr id="1527" name="Line 110">
            <a:extLst>
              <a:ext uri="{FF2B5EF4-FFF2-40B4-BE49-F238E27FC236}">
                <a16:creationId xmlns:a16="http://schemas.microsoft.com/office/drawing/2014/main" id="{00000000-0008-0000-0100-0000F7050000}"/>
              </a:ext>
            </a:extLst>
          </xdr:cNvPr>
          <xdr:cNvSpPr>
            <a:spLocks noChangeShapeType="1"/>
          </xdr:cNvSpPr>
        </xdr:nvSpPr>
        <xdr:spPr bwMode="auto">
          <a:xfrm flipH="1">
            <a:off x="593" y="622"/>
            <a:ext cx="0" cy="34"/>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419100</xdr:colOff>
      <xdr:row>81</xdr:row>
      <xdr:rowOff>133350</xdr:rowOff>
    </xdr:from>
    <xdr:to>
      <xdr:col>2</xdr:col>
      <xdr:colOff>419100</xdr:colOff>
      <xdr:row>84</xdr:row>
      <xdr:rowOff>95250</xdr:rowOff>
    </xdr:to>
    <xdr:sp macro="" textlink="">
      <xdr:nvSpPr>
        <xdr:cNvPr id="1512" name="Line 112">
          <a:extLst>
            <a:ext uri="{FF2B5EF4-FFF2-40B4-BE49-F238E27FC236}">
              <a16:creationId xmlns:a16="http://schemas.microsoft.com/office/drawing/2014/main" id="{00000000-0008-0000-0100-0000E8050000}"/>
            </a:ext>
          </a:extLst>
        </xdr:cNvPr>
        <xdr:cNvSpPr>
          <a:spLocks noChangeShapeType="1"/>
        </xdr:cNvSpPr>
      </xdr:nvSpPr>
      <xdr:spPr bwMode="auto">
        <a:xfrm flipH="1">
          <a:off x="1943100" y="13430250"/>
          <a:ext cx="0" cy="44767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542925</xdr:colOff>
          <xdr:row>1</xdr:row>
          <xdr:rowOff>19050</xdr:rowOff>
        </xdr:from>
        <xdr:to>
          <xdr:col>9</xdr:col>
          <xdr:colOff>333375</xdr:colOff>
          <xdr:row>14</xdr:row>
          <xdr:rowOff>85725</xdr:rowOff>
        </xdr:to>
        <xdr:sp macro="" textlink="">
          <xdr:nvSpPr>
            <xdr:cNvPr id="1025" name="Group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b-NO" sz="800" b="0" i="0" u="none" strike="noStrike" baseline="0">
                  <a:solidFill>
                    <a:srgbClr val="000000"/>
                  </a:solidFill>
                  <a:latin typeface="Tahoma"/>
                  <a:ea typeface="Tahoma"/>
                  <a:cs typeface="Tahoma"/>
                </a:rPr>
                <a:t>Terrengkategori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xdr:row>
          <xdr:rowOff>9525</xdr:rowOff>
        </xdr:from>
        <xdr:to>
          <xdr:col>9</xdr:col>
          <xdr:colOff>152400</xdr:colOff>
          <xdr:row>3</xdr:row>
          <xdr:rowOff>66675</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solidFill>
              <a:srgbClr val="CCFFFF" mc:Ignorable="a14" a14:legacySpreadsheetColorIndex="41"/>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nb-NO" sz="800" b="0" i="0" u="none" strike="noStrike" baseline="0">
                  <a:solidFill>
                    <a:srgbClr val="000000"/>
                  </a:solidFill>
                  <a:latin typeface="Tahoma"/>
                  <a:ea typeface="Tahoma"/>
                  <a:cs typeface="Tahoma"/>
                </a:rPr>
                <a:t>Kyststrøk som er eksponert for åpent hav.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xdr:row>
          <xdr:rowOff>133350</xdr:rowOff>
        </xdr:from>
        <xdr:to>
          <xdr:col>9</xdr:col>
          <xdr:colOff>152400</xdr:colOff>
          <xdr:row>5</xdr:row>
          <xdr:rowOff>28575</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solidFill>
              <a:srgbClr val="CCFFFF" mc:Ignorable="a14" a14:legacySpreadsheetColorIndex="27"/>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nb-NO" sz="800" b="0" i="0" u="none" strike="noStrike" baseline="0">
                  <a:solidFill>
                    <a:srgbClr val="000000"/>
                  </a:solidFill>
                  <a:latin typeface="Tahoma"/>
                  <a:ea typeface="Tahoma"/>
                  <a:cs typeface="Tahoma"/>
                </a:rPr>
                <a:t>Innsjøer eller områder med lite vegetasjon og uten hindringer.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xdr:row>
          <xdr:rowOff>85725</xdr:rowOff>
        </xdr:from>
        <xdr:to>
          <xdr:col>9</xdr:col>
          <xdr:colOff>161925</xdr:colOff>
          <xdr:row>7</xdr:row>
          <xdr:rowOff>76200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solidFill>
              <a:srgbClr val="CCFFFF" mc:Ignorable="a14" a14:legacySpreadsheetColorIndex="27"/>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nb-NO" sz="800" b="0" i="0" u="none" strike="noStrike" baseline="0">
                  <a:solidFill>
                    <a:srgbClr val="000000"/>
                  </a:solidFill>
                  <a:latin typeface="Tahoma"/>
                  <a:ea typeface="Tahoma"/>
                  <a:cs typeface="Tahoma"/>
                </a:rPr>
                <a:t>Område med lav vegetasjon som gress og spredte hindringer (trær, bygninger) med innbyrdes avstander på minst 20 ganger deres høyde.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142875</xdr:rowOff>
        </xdr:from>
        <xdr:to>
          <xdr:col>9</xdr:col>
          <xdr:colOff>161925</xdr:colOff>
          <xdr:row>9</xdr:row>
          <xdr:rowOff>133350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solidFill>
              <a:srgbClr val="CCFFFF" mc:Ignorable="a14" a14:legacySpreadsheetColorIndex="27"/>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nb-NO" sz="800" b="0" i="0" u="none" strike="noStrike" baseline="0">
                  <a:solidFill>
                    <a:srgbClr val="000000"/>
                  </a:solidFill>
                  <a:latin typeface="Tahoma"/>
                  <a:ea typeface="Tahoma"/>
                  <a:cs typeface="Tahoma"/>
                </a:rPr>
                <a:t>Område med jevnt dekke av vegetasjon eller bygninger eller med spredte hindringer med innbyrdes avstand på høyst 20 ganger                   deres høyde (som landsbyer, forstadsterreng, permanent skog).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xdr:row>
          <xdr:rowOff>38100</xdr:rowOff>
        </xdr:from>
        <xdr:to>
          <xdr:col>9</xdr:col>
          <xdr:colOff>152400</xdr:colOff>
          <xdr:row>11</xdr:row>
          <xdr:rowOff>95250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solidFill>
              <a:srgbClr val="CCFFFF" mc:Ignorable="a14" a14:legacySpreadsheetColorIndex="41"/>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nb-NO" sz="800" b="0" i="0" u="none" strike="noStrike" baseline="0">
                  <a:solidFill>
                    <a:srgbClr val="000000"/>
                  </a:solidFill>
                  <a:latin typeface="Tahoma"/>
                  <a:ea typeface="Tahoma"/>
                  <a:cs typeface="Tahoma"/>
                </a:rPr>
                <a:t>Områder der minst 15% av overflaten er dekket med bygninger og deres gjennomsnittlige høyde overskrider 15m.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542925</xdr:colOff>
          <xdr:row>16</xdr:row>
          <xdr:rowOff>0</xdr:rowOff>
        </xdr:from>
        <xdr:to>
          <xdr:col>9</xdr:col>
          <xdr:colOff>333375</xdr:colOff>
          <xdr:row>26</xdr:row>
          <xdr:rowOff>9525</xdr:rowOff>
        </xdr:to>
        <xdr:sp macro="" textlink="">
          <xdr:nvSpPr>
            <xdr:cNvPr id="1031" name="Group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b-NO" sz="800" b="0" i="0" u="none" strike="noStrike" baseline="0">
                  <a:solidFill>
                    <a:srgbClr val="000000"/>
                  </a:solidFill>
                  <a:latin typeface="Tahoma"/>
                  <a:ea typeface="Tahoma"/>
                  <a:cs typeface="Tahoma"/>
                </a:rPr>
                <a:t>Topografi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xdr:row>
          <xdr:rowOff>9525</xdr:rowOff>
        </xdr:from>
        <xdr:to>
          <xdr:col>3</xdr:col>
          <xdr:colOff>352425</xdr:colOff>
          <xdr:row>17</xdr:row>
          <xdr:rowOff>228600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solidFill>
              <a:srgbClr val="CCFFFF" mc:Ignorable="a14" a14:legacySpreadsheetColorIndex="41"/>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nb-NO" sz="800" b="0" i="0" u="none" strike="noStrike" baseline="0">
                  <a:solidFill>
                    <a:srgbClr val="000000"/>
                  </a:solidFill>
                  <a:latin typeface="Tahoma"/>
                  <a:ea typeface="Tahoma"/>
                  <a:cs typeface="Tahoma"/>
                </a:rPr>
                <a:t>Flatt terreng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xdr:row>
          <xdr:rowOff>142875</xdr:rowOff>
        </xdr:from>
        <xdr:to>
          <xdr:col>3</xdr:col>
          <xdr:colOff>371475</xdr:colOff>
          <xdr:row>21</xdr:row>
          <xdr:rowOff>38100</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solidFill>
              <a:srgbClr val="CCFFFF" mc:Ignorable="a14" a14:legacySpreadsheetColorIndex="41"/>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nb-NO" sz="800" b="0" i="0" u="none" strike="noStrike" baseline="0">
                  <a:solidFill>
                    <a:srgbClr val="000000"/>
                  </a:solidFill>
                  <a:latin typeface="Tahoma"/>
                  <a:ea typeface="Tahoma"/>
                  <a:cs typeface="Tahoma"/>
                </a:rPr>
                <a:t>Skråning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xdr:row>
          <xdr:rowOff>9525</xdr:rowOff>
        </xdr:from>
        <xdr:to>
          <xdr:col>3</xdr:col>
          <xdr:colOff>361950</xdr:colOff>
          <xdr:row>19</xdr:row>
          <xdr:rowOff>66675</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solidFill>
              <a:srgbClr val="CCFFFF" mc:Ignorable="a14" a14:legacySpreadsheetColorIndex="41"/>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nb-NO" sz="800" b="0" i="0" u="none" strike="noStrike" baseline="0">
                  <a:solidFill>
                    <a:srgbClr val="000000"/>
                  </a:solidFill>
                  <a:latin typeface="Tahoma"/>
                  <a:ea typeface="Tahoma"/>
                  <a:cs typeface="Tahoma"/>
                </a:rPr>
                <a:t>Forhøyning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133350</xdr:rowOff>
        </xdr:from>
        <xdr:to>
          <xdr:col>3</xdr:col>
          <xdr:colOff>381000</xdr:colOff>
          <xdr:row>23</xdr:row>
          <xdr:rowOff>28575</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solidFill>
              <a:srgbClr val="CCFFFF" mc:Ignorable="a14" a14:legacySpreadsheetColorIndex="41"/>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nb-NO" sz="800" b="0" i="0" u="none" strike="noStrike" baseline="0">
                  <a:solidFill>
                    <a:srgbClr val="000000"/>
                  </a:solidFill>
                  <a:latin typeface="Tahoma"/>
                  <a:ea typeface="Tahoma"/>
                  <a:cs typeface="Tahoma"/>
                </a:rPr>
                <a:t>Regulær ås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xdr:row>
          <xdr:rowOff>123825</xdr:rowOff>
        </xdr:from>
        <xdr:to>
          <xdr:col>3</xdr:col>
          <xdr:colOff>381000</xdr:colOff>
          <xdr:row>25</xdr:row>
          <xdr:rowOff>19050</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solidFill>
              <a:srgbClr val="CCFFFF" mc:Ignorable="a14" a14:legacySpreadsheetColorIndex="41"/>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nb-NO" sz="800" b="0" i="0" u="none" strike="noStrike" baseline="0">
                  <a:solidFill>
                    <a:srgbClr val="000000"/>
                  </a:solidFill>
                  <a:latin typeface="Tahoma"/>
                  <a:ea typeface="Tahoma"/>
                  <a:cs typeface="Tahoma"/>
                </a:rPr>
                <a:t>Leside av bratt terreng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27</xdr:row>
          <xdr:rowOff>66675</xdr:rowOff>
        </xdr:from>
        <xdr:to>
          <xdr:col>9</xdr:col>
          <xdr:colOff>323850</xdr:colOff>
          <xdr:row>32</xdr:row>
          <xdr:rowOff>152400</xdr:rowOff>
        </xdr:to>
        <xdr:sp macro="" textlink="">
          <xdr:nvSpPr>
            <xdr:cNvPr id="1042" name="Group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b-NO" sz="800" b="0" i="0" u="none" strike="noStrike" baseline="0">
                  <a:solidFill>
                    <a:srgbClr val="000000"/>
                  </a:solidFill>
                  <a:latin typeface="Tahoma"/>
                  <a:ea typeface="Tahoma"/>
                  <a:cs typeface="Tahoma"/>
                </a:rPr>
                <a:t>Tips for topografi/terrengkategori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542925</xdr:colOff>
          <xdr:row>34</xdr:row>
          <xdr:rowOff>47625</xdr:rowOff>
        </xdr:from>
        <xdr:to>
          <xdr:col>9</xdr:col>
          <xdr:colOff>323850</xdr:colOff>
          <xdr:row>48</xdr:row>
          <xdr:rowOff>38100</xdr:rowOff>
        </xdr:to>
        <xdr:sp macro="" textlink="">
          <xdr:nvSpPr>
            <xdr:cNvPr id="1047" name="Group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b-NO" sz="800" b="0" i="0" u="none" strike="noStrike" baseline="0">
                  <a:solidFill>
                    <a:srgbClr val="000000"/>
                  </a:solidFill>
                  <a:latin typeface="Tahoma"/>
                  <a:ea typeface="Tahoma"/>
                  <a:cs typeface="Tahoma"/>
                </a:rPr>
                <a:t>Illustrasjon av forhøyning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581025</xdr:colOff>
          <xdr:row>49</xdr:row>
          <xdr:rowOff>85725</xdr:rowOff>
        </xdr:from>
        <xdr:to>
          <xdr:col>9</xdr:col>
          <xdr:colOff>314325</xdr:colOff>
          <xdr:row>63</xdr:row>
          <xdr:rowOff>76200</xdr:rowOff>
        </xdr:to>
        <xdr:sp macro="" textlink="">
          <xdr:nvSpPr>
            <xdr:cNvPr id="1074" name="Group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b-NO" sz="800" b="0" i="0" u="none" strike="noStrike" baseline="0">
                  <a:solidFill>
                    <a:srgbClr val="000000"/>
                  </a:solidFill>
                  <a:latin typeface="Tahoma"/>
                  <a:ea typeface="Tahoma"/>
                  <a:cs typeface="Tahoma"/>
                </a:rPr>
                <a:t>Illustrasjon av skråning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542925</xdr:colOff>
          <xdr:row>65</xdr:row>
          <xdr:rowOff>0</xdr:rowOff>
        </xdr:from>
        <xdr:to>
          <xdr:col>9</xdr:col>
          <xdr:colOff>314325</xdr:colOff>
          <xdr:row>78</xdr:row>
          <xdr:rowOff>152400</xdr:rowOff>
        </xdr:to>
        <xdr:sp macro="" textlink="">
          <xdr:nvSpPr>
            <xdr:cNvPr id="1092" name="Group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b-NO" sz="800" b="0" i="0" u="none" strike="noStrike" baseline="0">
                  <a:solidFill>
                    <a:srgbClr val="000000"/>
                  </a:solidFill>
                  <a:latin typeface="Tahoma"/>
                  <a:ea typeface="Tahoma"/>
                  <a:cs typeface="Tahoma"/>
                </a:rPr>
                <a:t>Illustrasjon av regulær ås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542925</xdr:colOff>
          <xdr:row>80</xdr:row>
          <xdr:rowOff>104775</xdr:rowOff>
        </xdr:from>
        <xdr:to>
          <xdr:col>9</xdr:col>
          <xdr:colOff>314325</xdr:colOff>
          <xdr:row>94</xdr:row>
          <xdr:rowOff>95250</xdr:rowOff>
        </xdr:to>
        <xdr:sp macro="" textlink="">
          <xdr:nvSpPr>
            <xdr:cNvPr id="1110" name="Group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b-NO" sz="800" b="0" i="0" u="none" strike="noStrike" baseline="0">
                  <a:solidFill>
                    <a:srgbClr val="000000"/>
                  </a:solidFill>
                  <a:latin typeface="Tahoma"/>
                  <a:ea typeface="Tahoma"/>
                  <a:cs typeface="Tahoma"/>
                </a:rPr>
                <a:t>Leside av bratt terreng</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609600</xdr:colOff>
          <xdr:row>1</xdr:row>
          <xdr:rowOff>9525</xdr:rowOff>
        </xdr:from>
        <xdr:to>
          <xdr:col>6</xdr:col>
          <xdr:colOff>314325</xdr:colOff>
          <xdr:row>19</xdr:row>
          <xdr:rowOff>142875</xdr:rowOff>
        </xdr:to>
        <xdr:sp macro="" textlink="">
          <xdr:nvSpPr>
            <xdr:cNvPr id="3078" name="Group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b-NO" sz="800" b="0" i="0" u="none" strike="noStrike" baseline="0">
                  <a:solidFill>
                    <a:srgbClr val="000000"/>
                  </a:solidFill>
                  <a:latin typeface="Tahoma"/>
                  <a:ea typeface="Tahoma"/>
                  <a:cs typeface="Tahoma"/>
                </a:rPr>
                <a:t>Vindlastberegning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xdr:row>
          <xdr:rowOff>133350</xdr:rowOff>
        </xdr:from>
        <xdr:to>
          <xdr:col>3</xdr:col>
          <xdr:colOff>0</xdr:colOff>
          <xdr:row>25</xdr:row>
          <xdr:rowOff>28575</xdr:rowOff>
        </xdr:to>
        <xdr:sp macro="" textlink="">
          <xdr:nvSpPr>
            <xdr:cNvPr id="3106" name="Option Button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solidFill>
              <a:srgbClr val="CCFFFF" mc:Ignorable="a14" a14:legacySpreadsheetColorIndex="41"/>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nb-NO" sz="800" b="0" i="0" u="none" strike="noStrike" baseline="0">
                  <a:solidFill>
                    <a:srgbClr val="000000"/>
                  </a:solidFill>
                  <a:latin typeface="Tahoma"/>
                  <a:ea typeface="Tahoma"/>
                  <a:cs typeface="Tahoma"/>
                </a:rPr>
                <a:t>Bruk automatisk beregning av vindlast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25</xdr:row>
          <xdr:rowOff>104775</xdr:rowOff>
        </xdr:from>
        <xdr:to>
          <xdr:col>3</xdr:col>
          <xdr:colOff>0</xdr:colOff>
          <xdr:row>27</xdr:row>
          <xdr:rowOff>0</xdr:rowOff>
        </xdr:to>
        <xdr:sp macro="" textlink="">
          <xdr:nvSpPr>
            <xdr:cNvPr id="3107" name="Option Button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solidFill>
              <a:srgbClr val="CCFFFF" mc:Ignorable="a14" a14:legacySpreadsheetColorIndex="41"/>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nb-NO" sz="800" b="0" i="0" u="none" strike="noStrike" baseline="0">
                  <a:solidFill>
                    <a:srgbClr val="000000"/>
                  </a:solidFill>
                  <a:latin typeface="Tahoma"/>
                  <a:ea typeface="Tahoma"/>
                  <a:cs typeface="Tahoma"/>
                </a:rPr>
                <a:t>Manuell inntasting av vindkasthastighetstrykk, qkast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609600</xdr:colOff>
          <xdr:row>22</xdr:row>
          <xdr:rowOff>9525</xdr:rowOff>
        </xdr:from>
        <xdr:to>
          <xdr:col>6</xdr:col>
          <xdr:colOff>314325</xdr:colOff>
          <xdr:row>33</xdr:row>
          <xdr:rowOff>142875</xdr:rowOff>
        </xdr:to>
        <xdr:sp macro="" textlink="">
          <xdr:nvSpPr>
            <xdr:cNvPr id="3215" name="Group Box 143" hidden="1">
              <a:extLst>
                <a:ext uri="{63B3BB69-23CF-44E3-9099-C40C66FF867C}">
                  <a14:compatExt spid="_x0000_s3215"/>
                </a:ext>
                <a:ext uri="{FF2B5EF4-FFF2-40B4-BE49-F238E27FC236}">
                  <a16:creationId xmlns:a16="http://schemas.microsoft.com/office/drawing/2014/main" id="{00000000-0008-0000-0200-00008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b-NO" sz="800" b="0" i="0" u="none" strike="noStrike" baseline="0">
                  <a:solidFill>
                    <a:srgbClr val="000000"/>
                  </a:solidFill>
                  <a:latin typeface="Tahoma"/>
                  <a:ea typeface="Tahoma"/>
                  <a:cs typeface="Tahoma"/>
                </a:rPr>
                <a:t>Resultat</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1000125</xdr:colOff>
          <xdr:row>1</xdr:row>
          <xdr:rowOff>85725</xdr:rowOff>
        </xdr:from>
        <xdr:to>
          <xdr:col>3</xdr:col>
          <xdr:colOff>228600</xdr:colOff>
          <xdr:row>9</xdr:row>
          <xdr:rowOff>19050</xdr:rowOff>
        </xdr:to>
        <xdr:sp macro="" textlink="">
          <xdr:nvSpPr>
            <xdr:cNvPr id="6170" name="Group Box 26" hidden="1">
              <a:extLst>
                <a:ext uri="{63B3BB69-23CF-44E3-9099-C40C66FF867C}">
                  <a14:compatExt spid="_x0000_s6170"/>
                </a:ext>
                <a:ext uri="{FF2B5EF4-FFF2-40B4-BE49-F238E27FC236}">
                  <a16:creationId xmlns:a16="http://schemas.microsoft.com/office/drawing/2014/main" id="{00000000-0008-0000-0300-00001A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b-NO" sz="800" b="0" i="0" u="none" strike="noStrike" baseline="0">
                  <a:solidFill>
                    <a:srgbClr val="000000"/>
                  </a:solidFill>
                  <a:latin typeface="Tahoma"/>
                  <a:ea typeface="Tahoma"/>
                  <a:cs typeface="Tahoma"/>
                </a:rPr>
                <a:t>Takbelegg midtfelt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1000125</xdr:colOff>
          <xdr:row>1</xdr:row>
          <xdr:rowOff>85725</xdr:rowOff>
        </xdr:from>
        <xdr:to>
          <xdr:col>6</xdr:col>
          <xdr:colOff>171450</xdr:colOff>
          <xdr:row>9</xdr:row>
          <xdr:rowOff>0</xdr:rowOff>
        </xdr:to>
        <xdr:sp macro="" textlink="">
          <xdr:nvSpPr>
            <xdr:cNvPr id="6171" name="Group Box 27" hidden="1">
              <a:extLst>
                <a:ext uri="{63B3BB69-23CF-44E3-9099-C40C66FF867C}">
                  <a14:compatExt spid="_x0000_s6171"/>
                </a:ext>
                <a:ext uri="{FF2B5EF4-FFF2-40B4-BE49-F238E27FC236}">
                  <a16:creationId xmlns:a16="http://schemas.microsoft.com/office/drawing/2014/main" id="{00000000-0008-0000-0300-00001B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b-NO" sz="800" b="0" i="0" u="none" strike="noStrike" baseline="0">
                  <a:solidFill>
                    <a:srgbClr val="000000"/>
                  </a:solidFill>
                  <a:latin typeface="Tahoma"/>
                  <a:ea typeface="Tahoma"/>
                  <a:cs typeface="Tahoma"/>
                </a:rPr>
                <a:t>Takbelegg hjørne- og randfelt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1000125</xdr:colOff>
          <xdr:row>10</xdr:row>
          <xdr:rowOff>123825</xdr:rowOff>
        </xdr:from>
        <xdr:to>
          <xdr:col>3</xdr:col>
          <xdr:colOff>228600</xdr:colOff>
          <xdr:row>16</xdr:row>
          <xdr:rowOff>19050</xdr:rowOff>
        </xdr:to>
        <xdr:sp macro="" textlink="">
          <xdr:nvSpPr>
            <xdr:cNvPr id="6175" name="Group Box 31" hidden="1">
              <a:extLst>
                <a:ext uri="{63B3BB69-23CF-44E3-9099-C40C66FF867C}">
                  <a14:compatExt spid="_x0000_s6175"/>
                </a:ext>
                <a:ext uri="{FF2B5EF4-FFF2-40B4-BE49-F238E27FC236}">
                  <a16:creationId xmlns:a16="http://schemas.microsoft.com/office/drawing/2014/main" id="{00000000-0008-0000-0300-00001F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b-NO" sz="800" b="0" i="0" u="none" strike="noStrike" baseline="0">
                  <a:solidFill>
                    <a:srgbClr val="000000"/>
                  </a:solidFill>
                  <a:latin typeface="Tahoma"/>
                  <a:ea typeface="Tahoma"/>
                  <a:cs typeface="Tahoma"/>
                </a:rPr>
                <a:t>Festemidler midtfelt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1000125</xdr:colOff>
          <xdr:row>10</xdr:row>
          <xdr:rowOff>123825</xdr:rowOff>
        </xdr:from>
        <xdr:to>
          <xdr:col>6</xdr:col>
          <xdr:colOff>171450</xdr:colOff>
          <xdr:row>16</xdr:row>
          <xdr:rowOff>19050</xdr:rowOff>
        </xdr:to>
        <xdr:sp macro="" textlink="">
          <xdr:nvSpPr>
            <xdr:cNvPr id="6176" name="Group Box 32" hidden="1">
              <a:extLst>
                <a:ext uri="{63B3BB69-23CF-44E3-9099-C40C66FF867C}">
                  <a14:compatExt spid="_x0000_s6176"/>
                </a:ext>
                <a:ext uri="{FF2B5EF4-FFF2-40B4-BE49-F238E27FC236}">
                  <a16:creationId xmlns:a16="http://schemas.microsoft.com/office/drawing/2014/main" id="{00000000-0008-0000-0300-000020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b-NO" sz="800" b="0" i="0" u="none" strike="noStrike" baseline="0">
                  <a:solidFill>
                    <a:srgbClr val="000000"/>
                  </a:solidFill>
                  <a:latin typeface="Tahoma"/>
                  <a:ea typeface="Tahoma"/>
                  <a:cs typeface="Tahoma"/>
                </a:rPr>
                <a:t>Festemidler hjørne- og randfelt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990600</xdr:colOff>
          <xdr:row>18</xdr:row>
          <xdr:rowOff>0</xdr:rowOff>
        </xdr:from>
        <xdr:to>
          <xdr:col>6</xdr:col>
          <xdr:colOff>152400</xdr:colOff>
          <xdr:row>23</xdr:row>
          <xdr:rowOff>0</xdr:rowOff>
        </xdr:to>
        <xdr:sp macro="" textlink="">
          <xdr:nvSpPr>
            <xdr:cNvPr id="6181" name="Group Box 37" hidden="1">
              <a:extLst>
                <a:ext uri="{63B3BB69-23CF-44E3-9099-C40C66FF867C}">
                  <a14:compatExt spid="_x0000_s6181"/>
                </a:ext>
                <a:ext uri="{FF2B5EF4-FFF2-40B4-BE49-F238E27FC236}">
                  <a16:creationId xmlns:a16="http://schemas.microsoft.com/office/drawing/2014/main" id="{00000000-0008-0000-0300-000025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b-NO" sz="800" b="0" i="0" u="none" strike="noStrike" baseline="0">
                  <a:solidFill>
                    <a:srgbClr val="000000"/>
                  </a:solidFill>
                  <a:latin typeface="Tahoma"/>
                  <a:ea typeface="Tahoma"/>
                  <a:cs typeface="Tahoma"/>
                </a:rPr>
                <a:t>Bærende underlag og takskruer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990600</xdr:colOff>
          <xdr:row>24</xdr:row>
          <xdr:rowOff>114300</xdr:rowOff>
        </xdr:from>
        <xdr:to>
          <xdr:col>6</xdr:col>
          <xdr:colOff>152400</xdr:colOff>
          <xdr:row>34</xdr:row>
          <xdr:rowOff>152400</xdr:rowOff>
        </xdr:to>
        <xdr:sp macro="" textlink="">
          <xdr:nvSpPr>
            <xdr:cNvPr id="6182" name="Group Box 38" hidden="1">
              <a:extLst>
                <a:ext uri="{63B3BB69-23CF-44E3-9099-C40C66FF867C}">
                  <a14:compatExt spid="_x0000_s6182"/>
                </a:ext>
                <a:ext uri="{FF2B5EF4-FFF2-40B4-BE49-F238E27FC236}">
                  <a16:creationId xmlns:a16="http://schemas.microsoft.com/office/drawing/2014/main" id="{00000000-0008-0000-0300-000026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b-NO" sz="800" b="0" i="0" u="none" strike="noStrike" baseline="0">
                  <a:solidFill>
                    <a:srgbClr val="000000"/>
                  </a:solidFill>
                  <a:latin typeface="Tahoma"/>
                  <a:ea typeface="Tahoma"/>
                  <a:cs typeface="Tahoma"/>
                </a:rPr>
                <a:t>Resultater</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1</xdr:row>
          <xdr:rowOff>28575</xdr:rowOff>
        </xdr:from>
        <xdr:to>
          <xdr:col>10</xdr:col>
          <xdr:colOff>9525</xdr:colOff>
          <xdr:row>4</xdr:row>
          <xdr:rowOff>142875</xdr:rowOff>
        </xdr:to>
        <xdr:sp macro="" textlink="">
          <xdr:nvSpPr>
            <xdr:cNvPr id="5121" name="Group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b-NO" sz="800" b="0" i="0" u="none" strike="noStrike" baseline="0">
                  <a:solidFill>
                    <a:srgbClr val="000000"/>
                  </a:solidFill>
                  <a:latin typeface="Tahoma"/>
                  <a:ea typeface="Tahoma"/>
                  <a:cs typeface="Tahoma"/>
                </a:rPr>
                <a:t>Dimensjoner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9525</xdr:rowOff>
        </xdr:from>
        <xdr:to>
          <xdr:col>6</xdr:col>
          <xdr:colOff>571500</xdr:colOff>
          <xdr:row>8</xdr:row>
          <xdr:rowOff>66675</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solidFill>
              <a:srgbClr val="CCFFFF" mc:Ignorable="a14" a14:legacySpreadsheetColorIndex="41"/>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nb-NO" sz="800" b="0" i="0" u="none" strike="noStrike" baseline="0">
                  <a:solidFill>
                    <a:srgbClr val="000000"/>
                  </a:solidFill>
                  <a:latin typeface="Tahoma"/>
                  <a:ea typeface="Tahoma"/>
                  <a:cs typeface="Tahoma"/>
                </a:rPr>
                <a:t>Tett underkonstruksjon og isolasjon mellom underkonstruksjon og tekning &lt;= 100 mm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9525</xdr:rowOff>
        </xdr:from>
        <xdr:to>
          <xdr:col>6</xdr:col>
          <xdr:colOff>571500</xdr:colOff>
          <xdr:row>10</xdr:row>
          <xdr:rowOff>66675</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solidFill>
              <a:srgbClr val="CCFFFF" mc:Ignorable="a14" a14:legacySpreadsheetColorIndex="41"/>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nb-NO" sz="800" b="0" i="0" u="none" strike="noStrike" baseline="0">
                  <a:solidFill>
                    <a:srgbClr val="000000"/>
                  </a:solidFill>
                  <a:latin typeface="Tahoma"/>
                  <a:ea typeface="Tahoma"/>
                  <a:cs typeface="Tahoma"/>
                </a:rPr>
                <a:t>Utett underkonstruksjon eller isolasjon mellom underkonstruksjon og tekning &gt; 100 mm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6</xdr:row>
          <xdr:rowOff>19050</xdr:rowOff>
        </xdr:from>
        <xdr:to>
          <xdr:col>10</xdr:col>
          <xdr:colOff>9525</xdr:colOff>
          <xdr:row>11</xdr:row>
          <xdr:rowOff>0</xdr:rowOff>
        </xdr:to>
        <xdr:sp macro="" textlink="">
          <xdr:nvSpPr>
            <xdr:cNvPr id="5124" name="Group Box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b-NO" sz="800" b="0" i="0" u="none" strike="noStrike" baseline="0">
                  <a:solidFill>
                    <a:srgbClr val="000000"/>
                  </a:solidFill>
                  <a:latin typeface="Tahoma"/>
                  <a:ea typeface="Tahoma"/>
                  <a:cs typeface="Tahoma"/>
                </a:rPr>
                <a:t>Utvendig last, virkningsgrad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6</xdr:col>
          <xdr:colOff>552450</xdr:colOff>
          <xdr:row>14</xdr:row>
          <xdr:rowOff>57150</xdr:rowOff>
        </xdr:to>
        <xdr:sp macro="" textlink="">
          <xdr:nvSpPr>
            <xdr:cNvPr id="5126" name="Option Button 6" hidden="1">
              <a:extLst>
                <a:ext uri="{63B3BB69-23CF-44E3-9099-C40C66FF867C}">
                  <a14:compatExt spid="_x0000_s5126"/>
                </a:ext>
                <a:ext uri="{FF2B5EF4-FFF2-40B4-BE49-F238E27FC236}">
                  <a16:creationId xmlns:a16="http://schemas.microsoft.com/office/drawing/2014/main" id="{00000000-0008-0000-0400-000006140000}"/>
                </a:ext>
              </a:extLst>
            </xdr:cNvPr>
            <xdr:cNvSpPr/>
          </xdr:nvSpPr>
          <xdr:spPr bwMode="auto">
            <a:xfrm>
              <a:off x="0" y="0"/>
              <a:ext cx="0" cy="0"/>
            </a:xfrm>
            <a:prstGeom prst="rect">
              <a:avLst/>
            </a:prstGeom>
            <a:solidFill>
              <a:srgbClr val="CCFFFF" mc:Ignorable="a14" a14:legacySpreadsheetColorIndex="41"/>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nb-NO" sz="800" b="0" i="0" u="none" strike="noStrike" baseline="0">
                  <a:solidFill>
                    <a:srgbClr val="000000"/>
                  </a:solidFill>
                  <a:latin typeface="Tahoma"/>
                  <a:ea typeface="Tahoma"/>
                  <a:cs typeface="Tahoma"/>
                </a:rPr>
                <a:t>Tett underkonstruksjon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6</xdr:col>
          <xdr:colOff>552450</xdr:colOff>
          <xdr:row>16</xdr:row>
          <xdr:rowOff>57150</xdr:rowOff>
        </xdr:to>
        <xdr:sp macro="" textlink="">
          <xdr:nvSpPr>
            <xdr:cNvPr id="5127" name="Option Button 7" hidden="1">
              <a:extLst>
                <a:ext uri="{63B3BB69-23CF-44E3-9099-C40C66FF867C}">
                  <a14:compatExt spid="_x0000_s5127"/>
                </a:ext>
                <a:ext uri="{FF2B5EF4-FFF2-40B4-BE49-F238E27FC236}">
                  <a16:creationId xmlns:a16="http://schemas.microsoft.com/office/drawing/2014/main" id="{00000000-0008-0000-0400-000007140000}"/>
                </a:ext>
              </a:extLst>
            </xdr:cNvPr>
            <xdr:cNvSpPr/>
          </xdr:nvSpPr>
          <xdr:spPr bwMode="auto">
            <a:xfrm>
              <a:off x="0" y="0"/>
              <a:ext cx="0" cy="0"/>
            </a:xfrm>
            <a:prstGeom prst="rect">
              <a:avLst/>
            </a:prstGeom>
            <a:solidFill>
              <a:srgbClr val="CCFFFF" mc:Ignorable="a14" a14:legacySpreadsheetColorIndex="41"/>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nb-NO" sz="800" b="0" i="0" u="none" strike="noStrike" baseline="0">
                  <a:solidFill>
                    <a:srgbClr val="000000"/>
                  </a:solidFill>
                  <a:latin typeface="Tahoma"/>
                  <a:ea typeface="Tahoma"/>
                  <a:cs typeface="Tahoma"/>
                </a:rPr>
                <a:t>Utett underkonstruksjon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619125</xdr:colOff>
          <xdr:row>12</xdr:row>
          <xdr:rowOff>9525</xdr:rowOff>
        </xdr:from>
        <xdr:to>
          <xdr:col>10</xdr:col>
          <xdr:colOff>0</xdr:colOff>
          <xdr:row>16</xdr:row>
          <xdr:rowOff>152400</xdr:rowOff>
        </xdr:to>
        <xdr:sp macro="" textlink="">
          <xdr:nvSpPr>
            <xdr:cNvPr id="5128" name="Group Box 8" hidden="1">
              <a:extLst>
                <a:ext uri="{63B3BB69-23CF-44E3-9099-C40C66FF867C}">
                  <a14:compatExt spid="_x0000_s5128"/>
                </a:ext>
                <a:ext uri="{FF2B5EF4-FFF2-40B4-BE49-F238E27FC236}">
                  <a16:creationId xmlns:a16="http://schemas.microsoft.com/office/drawing/2014/main" id="{00000000-0008-0000-0400-00000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b-NO" sz="800" b="0" i="0" u="none" strike="noStrike" baseline="0">
                  <a:solidFill>
                    <a:srgbClr val="000000"/>
                  </a:solidFill>
                  <a:latin typeface="Tahoma"/>
                  <a:ea typeface="Tahoma"/>
                  <a:cs typeface="Tahoma"/>
                </a:rPr>
                <a:t>Innvendig  last, virkningsgrad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6</xdr:col>
          <xdr:colOff>552450</xdr:colOff>
          <xdr:row>20</xdr:row>
          <xdr:rowOff>57150</xdr:rowOff>
        </xdr:to>
        <xdr:sp macro="" textlink="">
          <xdr:nvSpPr>
            <xdr:cNvPr id="5129" name="Option Button 9" hidden="1">
              <a:extLst>
                <a:ext uri="{63B3BB69-23CF-44E3-9099-C40C66FF867C}">
                  <a14:compatExt spid="_x0000_s5129"/>
                </a:ext>
                <a:ext uri="{FF2B5EF4-FFF2-40B4-BE49-F238E27FC236}">
                  <a16:creationId xmlns:a16="http://schemas.microsoft.com/office/drawing/2014/main" id="{00000000-0008-0000-0400-000009140000}"/>
                </a:ext>
              </a:extLst>
            </xdr:cNvPr>
            <xdr:cNvSpPr/>
          </xdr:nvSpPr>
          <xdr:spPr bwMode="auto">
            <a:xfrm>
              <a:off x="0" y="0"/>
              <a:ext cx="0" cy="0"/>
            </a:xfrm>
            <a:prstGeom prst="rect">
              <a:avLst/>
            </a:prstGeom>
            <a:solidFill>
              <a:srgbClr val="CCFFFF" mc:Ignorable="a14" a14:legacySpreadsheetColorIndex="41"/>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nb-NO" sz="800" b="0" i="0" u="none" strike="noStrike" baseline="0">
                  <a:solidFill>
                    <a:srgbClr val="000000"/>
                  </a:solidFill>
                  <a:latin typeface="Tahoma"/>
                  <a:ea typeface="Tahoma"/>
                  <a:cs typeface="Tahoma"/>
                </a:rPr>
                <a:t>Tett bygg, ingen dominerende vindfasade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742950</xdr:colOff>
          <xdr:row>20</xdr:row>
          <xdr:rowOff>152400</xdr:rowOff>
        </xdr:from>
        <xdr:to>
          <xdr:col>6</xdr:col>
          <xdr:colOff>552450</xdr:colOff>
          <xdr:row>22</xdr:row>
          <xdr:rowOff>47625</xdr:rowOff>
        </xdr:to>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400-00000A140000}"/>
                </a:ext>
              </a:extLst>
            </xdr:cNvPr>
            <xdr:cNvSpPr/>
          </xdr:nvSpPr>
          <xdr:spPr bwMode="auto">
            <a:xfrm>
              <a:off x="0" y="0"/>
              <a:ext cx="0" cy="0"/>
            </a:xfrm>
            <a:prstGeom prst="rect">
              <a:avLst/>
            </a:prstGeom>
            <a:solidFill>
              <a:srgbClr val="CCFFFF" mc:Ignorable="a14" a14:legacySpreadsheetColorIndex="41"/>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nb-NO" sz="800" b="0" i="0" u="none" strike="noStrike" baseline="0">
                  <a:solidFill>
                    <a:srgbClr val="000000"/>
                  </a:solidFill>
                  <a:latin typeface="Tahoma"/>
                  <a:ea typeface="Tahoma"/>
                  <a:cs typeface="Tahoma"/>
                </a:rPr>
                <a:t>Bygg med permanente åpninger,  minst en dominerende vindfasade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18</xdr:row>
          <xdr:rowOff>9525</xdr:rowOff>
        </xdr:from>
        <xdr:to>
          <xdr:col>10</xdr:col>
          <xdr:colOff>9525</xdr:colOff>
          <xdr:row>22</xdr:row>
          <xdr:rowOff>152400</xdr:rowOff>
        </xdr:to>
        <xdr:sp macro="" textlink="">
          <xdr:nvSpPr>
            <xdr:cNvPr id="5131" name="Group Box 11" hidden="1">
              <a:extLst>
                <a:ext uri="{63B3BB69-23CF-44E3-9099-C40C66FF867C}">
                  <a14:compatExt spid="_x0000_s5131"/>
                </a:ext>
                <a:ext uri="{FF2B5EF4-FFF2-40B4-BE49-F238E27FC236}">
                  <a16:creationId xmlns:a16="http://schemas.microsoft.com/office/drawing/2014/main" id="{00000000-0008-0000-0400-00000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b-NO" sz="800" b="0" i="0" u="none" strike="noStrike" baseline="0">
                  <a:solidFill>
                    <a:srgbClr val="000000"/>
                  </a:solidFill>
                  <a:latin typeface="Tahoma"/>
                  <a:ea typeface="Tahoma"/>
                  <a:cs typeface="Tahoma"/>
                </a:rPr>
                <a:t>Innvendig last, formfaktor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23</xdr:row>
          <xdr:rowOff>152400</xdr:rowOff>
        </xdr:from>
        <xdr:to>
          <xdr:col>12</xdr:col>
          <xdr:colOff>161925</xdr:colOff>
          <xdr:row>33</xdr:row>
          <xdr:rowOff>95250</xdr:rowOff>
        </xdr:to>
        <xdr:sp macro="" textlink="">
          <xdr:nvSpPr>
            <xdr:cNvPr id="5132" name="Group Box 12" hidden="1">
              <a:extLst>
                <a:ext uri="{63B3BB69-23CF-44E3-9099-C40C66FF867C}">
                  <a14:compatExt spid="_x0000_s5132"/>
                </a:ext>
                <a:ext uri="{FF2B5EF4-FFF2-40B4-BE49-F238E27FC236}">
                  <a16:creationId xmlns:a16="http://schemas.microsoft.com/office/drawing/2014/main" id="{00000000-0008-0000-0400-00000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b-NO" sz="800" b="0" i="0" u="none" strike="noStrike" baseline="0">
                  <a:solidFill>
                    <a:srgbClr val="000000"/>
                  </a:solidFill>
                  <a:latin typeface="Tahoma"/>
                  <a:ea typeface="Tahoma"/>
                  <a:cs typeface="Tahoma"/>
                </a:rPr>
                <a:t>Beregning av antall festemidler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34</xdr:row>
          <xdr:rowOff>47625</xdr:rowOff>
        </xdr:from>
        <xdr:to>
          <xdr:col>12</xdr:col>
          <xdr:colOff>161925</xdr:colOff>
          <xdr:row>48</xdr:row>
          <xdr:rowOff>123825</xdr:rowOff>
        </xdr:to>
        <xdr:sp macro="" textlink="">
          <xdr:nvSpPr>
            <xdr:cNvPr id="5171" name="Group Box 51" hidden="1">
              <a:extLst>
                <a:ext uri="{63B3BB69-23CF-44E3-9099-C40C66FF867C}">
                  <a14:compatExt spid="_x0000_s5171"/>
                </a:ext>
                <a:ext uri="{FF2B5EF4-FFF2-40B4-BE49-F238E27FC236}">
                  <a16:creationId xmlns:a16="http://schemas.microsoft.com/office/drawing/2014/main" id="{00000000-0008-0000-0400-00003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b-NO" sz="800" b="0" i="0" u="none" strike="noStrike" baseline="0">
                  <a:solidFill>
                    <a:srgbClr val="000000"/>
                  </a:solidFill>
                  <a:latin typeface="Tahoma"/>
                  <a:ea typeface="Tahoma"/>
                  <a:cs typeface="Tahoma"/>
                </a:rPr>
                <a:t>Manuell justering av festeavstand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133350</xdr:rowOff>
        </xdr:from>
        <xdr:to>
          <xdr:col>4</xdr:col>
          <xdr:colOff>552450</xdr:colOff>
          <xdr:row>37</xdr:row>
          <xdr:rowOff>28575</xdr:rowOff>
        </xdr:to>
        <xdr:sp macro="" textlink="">
          <xdr:nvSpPr>
            <xdr:cNvPr id="5197" name="Option Button 77" hidden="1">
              <a:extLst>
                <a:ext uri="{63B3BB69-23CF-44E3-9099-C40C66FF867C}">
                  <a14:compatExt spid="_x0000_s5197"/>
                </a:ext>
                <a:ext uri="{FF2B5EF4-FFF2-40B4-BE49-F238E27FC236}">
                  <a16:creationId xmlns:a16="http://schemas.microsoft.com/office/drawing/2014/main" id="{00000000-0008-0000-0400-00004D140000}"/>
                </a:ext>
              </a:extLst>
            </xdr:cNvPr>
            <xdr:cNvSpPr/>
          </xdr:nvSpPr>
          <xdr:spPr bwMode="auto">
            <a:xfrm>
              <a:off x="0" y="0"/>
              <a:ext cx="0" cy="0"/>
            </a:xfrm>
            <a:prstGeom prst="rect">
              <a:avLst/>
            </a:prstGeom>
            <a:solidFill>
              <a:srgbClr val="CCFFFF" mc:Ignorable="a14" a14:legacySpreadsheetColorIndex="41"/>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nb-NO" sz="800" b="0" i="0" u="none" strike="noStrike" baseline="0">
                  <a:solidFill>
                    <a:srgbClr val="000000"/>
                  </a:solidFill>
                  <a:latin typeface="Tahoma"/>
                  <a:ea typeface="Tahoma"/>
                  <a:cs typeface="Tahoma"/>
                </a:rPr>
                <a:t>Bruk automatisk beregning av antall festemidler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37</xdr:row>
          <xdr:rowOff>104775</xdr:rowOff>
        </xdr:from>
        <xdr:to>
          <xdr:col>4</xdr:col>
          <xdr:colOff>552450</xdr:colOff>
          <xdr:row>39</xdr:row>
          <xdr:rowOff>0</xdr:rowOff>
        </xdr:to>
        <xdr:sp macro="" textlink="">
          <xdr:nvSpPr>
            <xdr:cNvPr id="5198" name="Option Button 78" hidden="1">
              <a:extLst>
                <a:ext uri="{63B3BB69-23CF-44E3-9099-C40C66FF867C}">
                  <a14:compatExt spid="_x0000_s5198"/>
                </a:ext>
                <a:ext uri="{FF2B5EF4-FFF2-40B4-BE49-F238E27FC236}">
                  <a16:creationId xmlns:a16="http://schemas.microsoft.com/office/drawing/2014/main" id="{00000000-0008-0000-0400-00004E140000}"/>
                </a:ext>
              </a:extLst>
            </xdr:cNvPr>
            <xdr:cNvSpPr/>
          </xdr:nvSpPr>
          <xdr:spPr bwMode="auto">
            <a:xfrm>
              <a:off x="0" y="0"/>
              <a:ext cx="0" cy="0"/>
            </a:xfrm>
            <a:prstGeom prst="rect">
              <a:avLst/>
            </a:prstGeom>
            <a:solidFill>
              <a:srgbClr val="CCFFFF" mc:Ignorable="a14" a14:legacySpreadsheetColorIndex="41"/>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nb-NO" sz="800" b="0" i="0" u="none" strike="noStrike" baseline="0">
                  <a:solidFill>
                    <a:srgbClr val="000000"/>
                  </a:solidFill>
                  <a:latin typeface="Tahoma"/>
                  <a:ea typeface="Tahoma"/>
                  <a:cs typeface="Tahoma"/>
                </a:rPr>
                <a:t>Bruk manuell justering av festeavstand</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2</xdr:col>
      <xdr:colOff>1</xdr:colOff>
      <xdr:row>7</xdr:row>
      <xdr:rowOff>0</xdr:rowOff>
    </xdr:from>
    <xdr:to>
      <xdr:col>3</xdr:col>
      <xdr:colOff>1733550</xdr:colOff>
      <xdr:row>17</xdr:row>
      <xdr:rowOff>0</xdr:rowOff>
    </xdr:to>
    <xdr:sp macro="" textlink="">
      <xdr:nvSpPr>
        <xdr:cNvPr id="10436" name="Rectangle 26">
          <a:extLst>
            <a:ext uri="{FF2B5EF4-FFF2-40B4-BE49-F238E27FC236}">
              <a16:creationId xmlns:a16="http://schemas.microsoft.com/office/drawing/2014/main" id="{00000000-0008-0000-0600-0000C4280000}"/>
            </a:ext>
          </a:extLst>
        </xdr:cNvPr>
        <xdr:cNvSpPr>
          <a:spLocks noChangeArrowheads="1"/>
        </xdr:cNvSpPr>
      </xdr:nvSpPr>
      <xdr:spPr bwMode="auto">
        <a:xfrm>
          <a:off x="1485901" y="1133475"/>
          <a:ext cx="3476624" cy="1619250"/>
        </a:xfrm>
        <a:prstGeom prst="rect">
          <a:avLst/>
        </a:prstGeom>
        <a:noFill/>
        <a:ln w="25400">
          <a:solidFill>
            <a:srgbClr val="0000FF"/>
          </a:solidFill>
          <a:miter lim="800000"/>
          <a:headEnd/>
          <a:tailEnd/>
        </a:ln>
      </xdr:spPr>
    </xdr:sp>
    <xdr:clientData/>
  </xdr:twoCellAnchor>
  <xdr:twoCellAnchor>
    <xdr:from>
      <xdr:col>2</xdr:col>
      <xdr:colOff>247650</xdr:colOff>
      <xdr:row>8</xdr:row>
      <xdr:rowOff>66674</xdr:rowOff>
    </xdr:from>
    <xdr:to>
      <xdr:col>3</xdr:col>
      <xdr:colOff>1504951</xdr:colOff>
      <xdr:row>15</xdr:row>
      <xdr:rowOff>123824</xdr:rowOff>
    </xdr:to>
    <xdr:sp macro="" textlink="">
      <xdr:nvSpPr>
        <xdr:cNvPr id="10437" name="Rectangle 27">
          <a:extLst>
            <a:ext uri="{FF2B5EF4-FFF2-40B4-BE49-F238E27FC236}">
              <a16:creationId xmlns:a16="http://schemas.microsoft.com/office/drawing/2014/main" id="{00000000-0008-0000-0600-0000C5280000}"/>
            </a:ext>
          </a:extLst>
        </xdr:cNvPr>
        <xdr:cNvSpPr>
          <a:spLocks noChangeArrowheads="1"/>
        </xdr:cNvSpPr>
      </xdr:nvSpPr>
      <xdr:spPr bwMode="auto">
        <a:xfrm>
          <a:off x="1733550" y="1362074"/>
          <a:ext cx="3000376" cy="1190625"/>
        </a:xfrm>
        <a:prstGeom prst="rect">
          <a:avLst/>
        </a:prstGeom>
        <a:solidFill>
          <a:srgbClr val="FFFFFF">
            <a:alpha val="0"/>
          </a:srgbClr>
        </a:solidFill>
        <a:ln w="12700">
          <a:solidFill>
            <a:srgbClr val="FF0000"/>
          </a:solidFill>
          <a:prstDash val="dash"/>
          <a:miter lim="800000"/>
          <a:headEnd/>
          <a:tailEnd/>
        </a:ln>
      </xdr:spPr>
      <xdr:txBody>
        <a:bodyPr/>
        <a:lstStyle/>
        <a:p>
          <a:endParaRPr lang="nb-NO"/>
        </a:p>
      </xdr:txBody>
    </xdr:sp>
    <xdr:clientData/>
  </xdr:twoCellAnchor>
  <xdr:twoCellAnchor>
    <xdr:from>
      <xdr:col>2</xdr:col>
      <xdr:colOff>28574</xdr:colOff>
      <xdr:row>5</xdr:row>
      <xdr:rowOff>114300</xdr:rowOff>
    </xdr:from>
    <xdr:to>
      <xdr:col>3</xdr:col>
      <xdr:colOff>1704974</xdr:colOff>
      <xdr:row>5</xdr:row>
      <xdr:rowOff>114300</xdr:rowOff>
    </xdr:to>
    <xdr:sp macro="" textlink="">
      <xdr:nvSpPr>
        <xdr:cNvPr id="10438" name="Line 28">
          <a:extLst>
            <a:ext uri="{FF2B5EF4-FFF2-40B4-BE49-F238E27FC236}">
              <a16:creationId xmlns:a16="http://schemas.microsoft.com/office/drawing/2014/main" id="{00000000-0008-0000-0600-0000C6280000}"/>
            </a:ext>
          </a:extLst>
        </xdr:cNvPr>
        <xdr:cNvSpPr>
          <a:spLocks noChangeShapeType="1"/>
        </xdr:cNvSpPr>
      </xdr:nvSpPr>
      <xdr:spPr bwMode="auto">
        <a:xfrm>
          <a:off x="1514474" y="923925"/>
          <a:ext cx="3419475"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28575</xdr:colOff>
      <xdr:row>4</xdr:row>
      <xdr:rowOff>104775</xdr:rowOff>
    </xdr:from>
    <xdr:to>
      <xdr:col>2</xdr:col>
      <xdr:colOff>28575</xdr:colOff>
      <xdr:row>7</xdr:row>
      <xdr:rowOff>47625</xdr:rowOff>
    </xdr:to>
    <xdr:sp macro="" textlink="">
      <xdr:nvSpPr>
        <xdr:cNvPr id="10439" name="Line 29">
          <a:extLst>
            <a:ext uri="{FF2B5EF4-FFF2-40B4-BE49-F238E27FC236}">
              <a16:creationId xmlns:a16="http://schemas.microsoft.com/office/drawing/2014/main" id="{00000000-0008-0000-0600-0000C7280000}"/>
            </a:ext>
          </a:extLst>
        </xdr:cNvPr>
        <xdr:cNvSpPr>
          <a:spLocks noChangeShapeType="1"/>
        </xdr:cNvSpPr>
      </xdr:nvSpPr>
      <xdr:spPr bwMode="auto">
        <a:xfrm flipV="1">
          <a:off x="1514475" y="752475"/>
          <a:ext cx="0" cy="4286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1724025</xdr:colOff>
      <xdr:row>4</xdr:row>
      <xdr:rowOff>142875</xdr:rowOff>
    </xdr:from>
    <xdr:to>
      <xdr:col>3</xdr:col>
      <xdr:colOff>1724025</xdr:colOff>
      <xdr:row>7</xdr:row>
      <xdr:rowOff>85725</xdr:rowOff>
    </xdr:to>
    <xdr:sp macro="" textlink="">
      <xdr:nvSpPr>
        <xdr:cNvPr id="10440" name="Line 30">
          <a:extLst>
            <a:ext uri="{FF2B5EF4-FFF2-40B4-BE49-F238E27FC236}">
              <a16:creationId xmlns:a16="http://schemas.microsoft.com/office/drawing/2014/main" id="{00000000-0008-0000-0600-0000C8280000}"/>
            </a:ext>
          </a:extLst>
        </xdr:cNvPr>
        <xdr:cNvSpPr>
          <a:spLocks noChangeShapeType="1"/>
        </xdr:cNvSpPr>
      </xdr:nvSpPr>
      <xdr:spPr bwMode="auto">
        <a:xfrm flipV="1">
          <a:off x="4953000" y="790575"/>
          <a:ext cx="0" cy="4286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1400175</xdr:colOff>
      <xdr:row>17</xdr:row>
      <xdr:rowOff>9525</xdr:rowOff>
    </xdr:from>
    <xdr:to>
      <xdr:col>4</xdr:col>
      <xdr:colOff>581025</xdr:colOff>
      <xdr:row>17</xdr:row>
      <xdr:rowOff>9525</xdr:rowOff>
    </xdr:to>
    <xdr:sp macro="" textlink="">
      <xdr:nvSpPr>
        <xdr:cNvPr id="10441" name="Line 31">
          <a:extLst>
            <a:ext uri="{FF2B5EF4-FFF2-40B4-BE49-F238E27FC236}">
              <a16:creationId xmlns:a16="http://schemas.microsoft.com/office/drawing/2014/main" id="{00000000-0008-0000-0600-0000C9280000}"/>
            </a:ext>
          </a:extLst>
        </xdr:cNvPr>
        <xdr:cNvSpPr>
          <a:spLocks noChangeShapeType="1"/>
        </xdr:cNvSpPr>
      </xdr:nvSpPr>
      <xdr:spPr bwMode="auto">
        <a:xfrm>
          <a:off x="4629150" y="2762250"/>
          <a:ext cx="9239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1257300</xdr:colOff>
      <xdr:row>7</xdr:row>
      <xdr:rowOff>0</xdr:rowOff>
    </xdr:from>
    <xdr:to>
      <xdr:col>4</xdr:col>
      <xdr:colOff>438150</xdr:colOff>
      <xdr:row>7</xdr:row>
      <xdr:rowOff>0</xdr:rowOff>
    </xdr:to>
    <xdr:sp macro="" textlink="">
      <xdr:nvSpPr>
        <xdr:cNvPr id="10442" name="Line 32">
          <a:extLst>
            <a:ext uri="{FF2B5EF4-FFF2-40B4-BE49-F238E27FC236}">
              <a16:creationId xmlns:a16="http://schemas.microsoft.com/office/drawing/2014/main" id="{00000000-0008-0000-0600-0000CA280000}"/>
            </a:ext>
          </a:extLst>
        </xdr:cNvPr>
        <xdr:cNvSpPr>
          <a:spLocks noChangeShapeType="1"/>
        </xdr:cNvSpPr>
      </xdr:nvSpPr>
      <xdr:spPr bwMode="auto">
        <a:xfrm>
          <a:off x="4486275" y="1133475"/>
          <a:ext cx="9239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457200</xdr:colOff>
      <xdr:row>7</xdr:row>
      <xdr:rowOff>28575</xdr:rowOff>
    </xdr:from>
    <xdr:to>
      <xdr:col>4</xdr:col>
      <xdr:colOff>457200</xdr:colOff>
      <xdr:row>17</xdr:row>
      <xdr:rowOff>0</xdr:rowOff>
    </xdr:to>
    <xdr:sp macro="" textlink="">
      <xdr:nvSpPr>
        <xdr:cNvPr id="10443" name="Line 33">
          <a:extLst>
            <a:ext uri="{FF2B5EF4-FFF2-40B4-BE49-F238E27FC236}">
              <a16:creationId xmlns:a16="http://schemas.microsoft.com/office/drawing/2014/main" id="{00000000-0008-0000-0600-0000CB280000}"/>
            </a:ext>
          </a:extLst>
        </xdr:cNvPr>
        <xdr:cNvSpPr>
          <a:spLocks noChangeShapeType="1"/>
        </xdr:cNvSpPr>
      </xdr:nvSpPr>
      <xdr:spPr bwMode="auto">
        <a:xfrm flipV="1">
          <a:off x="5429250" y="1162050"/>
          <a:ext cx="0" cy="1590675"/>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38100</xdr:colOff>
      <xdr:row>9</xdr:row>
      <xdr:rowOff>114300</xdr:rowOff>
    </xdr:from>
    <xdr:to>
      <xdr:col>2</xdr:col>
      <xdr:colOff>257175</xdr:colOff>
      <xdr:row>9</xdr:row>
      <xdr:rowOff>114300</xdr:rowOff>
    </xdr:to>
    <xdr:sp macro="" textlink="">
      <xdr:nvSpPr>
        <xdr:cNvPr id="10444" name="Line 34">
          <a:extLst>
            <a:ext uri="{FF2B5EF4-FFF2-40B4-BE49-F238E27FC236}">
              <a16:creationId xmlns:a16="http://schemas.microsoft.com/office/drawing/2014/main" id="{00000000-0008-0000-0600-0000CC280000}"/>
            </a:ext>
          </a:extLst>
        </xdr:cNvPr>
        <xdr:cNvSpPr>
          <a:spLocks noChangeShapeType="1"/>
        </xdr:cNvSpPr>
      </xdr:nvSpPr>
      <xdr:spPr bwMode="auto">
        <a:xfrm>
          <a:off x="1524000" y="1571625"/>
          <a:ext cx="219075" cy="0"/>
        </a:xfrm>
        <a:prstGeom prst="line">
          <a:avLst/>
        </a:prstGeom>
        <a:noFill/>
        <a:ln w="12700">
          <a:solidFill>
            <a:srgbClr val="FF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1504950</xdr:colOff>
      <xdr:row>9</xdr:row>
      <xdr:rowOff>152400</xdr:rowOff>
    </xdr:from>
    <xdr:to>
      <xdr:col>3</xdr:col>
      <xdr:colOff>1724025</xdr:colOff>
      <xdr:row>9</xdr:row>
      <xdr:rowOff>152400</xdr:rowOff>
    </xdr:to>
    <xdr:sp macro="" textlink="">
      <xdr:nvSpPr>
        <xdr:cNvPr id="10445" name="Line 35">
          <a:extLst>
            <a:ext uri="{FF2B5EF4-FFF2-40B4-BE49-F238E27FC236}">
              <a16:creationId xmlns:a16="http://schemas.microsoft.com/office/drawing/2014/main" id="{00000000-0008-0000-0600-0000CD280000}"/>
            </a:ext>
          </a:extLst>
        </xdr:cNvPr>
        <xdr:cNvSpPr>
          <a:spLocks noChangeShapeType="1"/>
        </xdr:cNvSpPr>
      </xdr:nvSpPr>
      <xdr:spPr bwMode="auto">
        <a:xfrm>
          <a:off x="4733925" y="1609725"/>
          <a:ext cx="219075" cy="0"/>
        </a:xfrm>
        <a:prstGeom prst="line">
          <a:avLst/>
        </a:prstGeom>
        <a:noFill/>
        <a:ln w="12700">
          <a:solidFill>
            <a:srgbClr val="FF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38100</xdr:colOff>
      <xdr:row>14</xdr:row>
      <xdr:rowOff>95250</xdr:rowOff>
    </xdr:from>
    <xdr:to>
      <xdr:col>2</xdr:col>
      <xdr:colOff>257175</xdr:colOff>
      <xdr:row>14</xdr:row>
      <xdr:rowOff>95250</xdr:rowOff>
    </xdr:to>
    <xdr:sp macro="" textlink="">
      <xdr:nvSpPr>
        <xdr:cNvPr id="10446" name="Line 36">
          <a:extLst>
            <a:ext uri="{FF2B5EF4-FFF2-40B4-BE49-F238E27FC236}">
              <a16:creationId xmlns:a16="http://schemas.microsoft.com/office/drawing/2014/main" id="{00000000-0008-0000-0600-0000CE280000}"/>
            </a:ext>
          </a:extLst>
        </xdr:cNvPr>
        <xdr:cNvSpPr>
          <a:spLocks noChangeShapeType="1"/>
        </xdr:cNvSpPr>
      </xdr:nvSpPr>
      <xdr:spPr bwMode="auto">
        <a:xfrm>
          <a:off x="1524000" y="2362200"/>
          <a:ext cx="219075" cy="0"/>
        </a:xfrm>
        <a:prstGeom prst="line">
          <a:avLst/>
        </a:prstGeom>
        <a:noFill/>
        <a:ln w="12700">
          <a:solidFill>
            <a:srgbClr val="FF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1514475</xdr:colOff>
      <xdr:row>14</xdr:row>
      <xdr:rowOff>66675</xdr:rowOff>
    </xdr:from>
    <xdr:to>
      <xdr:col>3</xdr:col>
      <xdr:colOff>1733550</xdr:colOff>
      <xdr:row>14</xdr:row>
      <xdr:rowOff>66675</xdr:rowOff>
    </xdr:to>
    <xdr:sp macro="" textlink="">
      <xdr:nvSpPr>
        <xdr:cNvPr id="10447" name="Line 37">
          <a:extLst>
            <a:ext uri="{FF2B5EF4-FFF2-40B4-BE49-F238E27FC236}">
              <a16:creationId xmlns:a16="http://schemas.microsoft.com/office/drawing/2014/main" id="{00000000-0008-0000-0600-0000CF280000}"/>
            </a:ext>
          </a:extLst>
        </xdr:cNvPr>
        <xdr:cNvSpPr>
          <a:spLocks noChangeShapeType="1"/>
        </xdr:cNvSpPr>
      </xdr:nvSpPr>
      <xdr:spPr bwMode="auto">
        <a:xfrm>
          <a:off x="4743450" y="2333625"/>
          <a:ext cx="219075" cy="0"/>
        </a:xfrm>
        <a:prstGeom prst="line">
          <a:avLst/>
        </a:prstGeom>
        <a:noFill/>
        <a:ln w="12700">
          <a:solidFill>
            <a:srgbClr val="FF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457200</xdr:colOff>
      <xdr:row>7</xdr:row>
      <xdr:rowOff>19050</xdr:rowOff>
    </xdr:from>
    <xdr:to>
      <xdr:col>2</xdr:col>
      <xdr:colOff>457200</xdr:colOff>
      <xdr:row>8</xdr:row>
      <xdr:rowOff>76200</xdr:rowOff>
    </xdr:to>
    <xdr:sp macro="" textlink="">
      <xdr:nvSpPr>
        <xdr:cNvPr id="10448" name="Line 38">
          <a:extLst>
            <a:ext uri="{FF2B5EF4-FFF2-40B4-BE49-F238E27FC236}">
              <a16:creationId xmlns:a16="http://schemas.microsoft.com/office/drawing/2014/main" id="{00000000-0008-0000-0600-0000D0280000}"/>
            </a:ext>
          </a:extLst>
        </xdr:cNvPr>
        <xdr:cNvSpPr>
          <a:spLocks noChangeShapeType="1"/>
        </xdr:cNvSpPr>
      </xdr:nvSpPr>
      <xdr:spPr bwMode="auto">
        <a:xfrm rot="-5400000">
          <a:off x="1833562" y="1262063"/>
          <a:ext cx="219075" cy="0"/>
        </a:xfrm>
        <a:prstGeom prst="line">
          <a:avLst/>
        </a:prstGeom>
        <a:noFill/>
        <a:ln w="12700">
          <a:solidFill>
            <a:srgbClr val="FF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1257301</xdr:colOff>
      <xdr:row>7</xdr:row>
      <xdr:rowOff>9525</xdr:rowOff>
    </xdr:from>
    <xdr:to>
      <xdr:col>3</xdr:col>
      <xdr:colOff>1257301</xdr:colOff>
      <xdr:row>8</xdr:row>
      <xdr:rowOff>66675</xdr:rowOff>
    </xdr:to>
    <xdr:sp macro="" textlink="">
      <xdr:nvSpPr>
        <xdr:cNvPr id="10449" name="Line 39">
          <a:extLst>
            <a:ext uri="{FF2B5EF4-FFF2-40B4-BE49-F238E27FC236}">
              <a16:creationId xmlns:a16="http://schemas.microsoft.com/office/drawing/2014/main" id="{00000000-0008-0000-0600-0000D1280000}"/>
            </a:ext>
          </a:extLst>
        </xdr:cNvPr>
        <xdr:cNvSpPr>
          <a:spLocks noChangeShapeType="1"/>
        </xdr:cNvSpPr>
      </xdr:nvSpPr>
      <xdr:spPr bwMode="auto">
        <a:xfrm rot="-5400000">
          <a:off x="4376738" y="1252538"/>
          <a:ext cx="219075" cy="0"/>
        </a:xfrm>
        <a:prstGeom prst="line">
          <a:avLst/>
        </a:prstGeom>
        <a:noFill/>
        <a:ln w="12700">
          <a:solidFill>
            <a:srgbClr val="FF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457201</xdr:colOff>
      <xdr:row>15</xdr:row>
      <xdr:rowOff>123825</xdr:rowOff>
    </xdr:from>
    <xdr:to>
      <xdr:col>2</xdr:col>
      <xdr:colOff>457201</xdr:colOff>
      <xdr:row>17</xdr:row>
      <xdr:rowOff>19050</xdr:rowOff>
    </xdr:to>
    <xdr:sp macro="" textlink="">
      <xdr:nvSpPr>
        <xdr:cNvPr id="10450" name="Line 40">
          <a:extLst>
            <a:ext uri="{FF2B5EF4-FFF2-40B4-BE49-F238E27FC236}">
              <a16:creationId xmlns:a16="http://schemas.microsoft.com/office/drawing/2014/main" id="{00000000-0008-0000-0600-0000D2280000}"/>
            </a:ext>
          </a:extLst>
        </xdr:cNvPr>
        <xdr:cNvSpPr>
          <a:spLocks noChangeShapeType="1"/>
        </xdr:cNvSpPr>
      </xdr:nvSpPr>
      <xdr:spPr bwMode="auto">
        <a:xfrm rot="-5400000">
          <a:off x="1833563" y="2662238"/>
          <a:ext cx="219075" cy="0"/>
        </a:xfrm>
        <a:prstGeom prst="line">
          <a:avLst/>
        </a:prstGeom>
        <a:noFill/>
        <a:ln w="12700">
          <a:solidFill>
            <a:srgbClr val="FF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1276351</xdr:colOff>
      <xdr:row>15</xdr:row>
      <xdr:rowOff>114300</xdr:rowOff>
    </xdr:from>
    <xdr:to>
      <xdr:col>3</xdr:col>
      <xdr:colOff>1276351</xdr:colOff>
      <xdr:row>17</xdr:row>
      <xdr:rowOff>9525</xdr:rowOff>
    </xdr:to>
    <xdr:sp macro="" textlink="">
      <xdr:nvSpPr>
        <xdr:cNvPr id="10451" name="Line 41">
          <a:extLst>
            <a:ext uri="{FF2B5EF4-FFF2-40B4-BE49-F238E27FC236}">
              <a16:creationId xmlns:a16="http://schemas.microsoft.com/office/drawing/2014/main" id="{00000000-0008-0000-0600-0000D3280000}"/>
            </a:ext>
          </a:extLst>
        </xdr:cNvPr>
        <xdr:cNvSpPr>
          <a:spLocks noChangeShapeType="1"/>
        </xdr:cNvSpPr>
      </xdr:nvSpPr>
      <xdr:spPr bwMode="auto">
        <a:xfrm rot="-5400000">
          <a:off x="4395788" y="2652713"/>
          <a:ext cx="219075" cy="0"/>
        </a:xfrm>
        <a:prstGeom prst="line">
          <a:avLst/>
        </a:prstGeom>
        <a:noFill/>
        <a:ln w="12700">
          <a:solidFill>
            <a:srgbClr val="FF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190500</xdr:colOff>
      <xdr:row>16</xdr:row>
      <xdr:rowOff>57149</xdr:rowOff>
    </xdr:from>
    <xdr:to>
      <xdr:col>2</xdr:col>
      <xdr:colOff>628650</xdr:colOff>
      <xdr:row>19</xdr:row>
      <xdr:rowOff>114299</xdr:rowOff>
    </xdr:to>
    <xdr:sp macro="" textlink="">
      <xdr:nvSpPr>
        <xdr:cNvPr id="10452" name="Line 42">
          <a:extLst>
            <a:ext uri="{FF2B5EF4-FFF2-40B4-BE49-F238E27FC236}">
              <a16:creationId xmlns:a16="http://schemas.microsoft.com/office/drawing/2014/main" id="{00000000-0008-0000-0600-0000D4280000}"/>
            </a:ext>
          </a:extLst>
        </xdr:cNvPr>
        <xdr:cNvSpPr>
          <a:spLocks noChangeShapeType="1"/>
        </xdr:cNvSpPr>
      </xdr:nvSpPr>
      <xdr:spPr bwMode="auto">
        <a:xfrm>
          <a:off x="1676400" y="2647949"/>
          <a:ext cx="438150"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295275</xdr:colOff>
      <xdr:row>16</xdr:row>
      <xdr:rowOff>85725</xdr:rowOff>
    </xdr:from>
    <xdr:to>
      <xdr:col>3</xdr:col>
      <xdr:colOff>609600</xdr:colOff>
      <xdr:row>19</xdr:row>
      <xdr:rowOff>104775</xdr:rowOff>
    </xdr:to>
    <xdr:sp macro="" textlink="">
      <xdr:nvSpPr>
        <xdr:cNvPr id="10453" name="Line 43">
          <a:extLst>
            <a:ext uri="{FF2B5EF4-FFF2-40B4-BE49-F238E27FC236}">
              <a16:creationId xmlns:a16="http://schemas.microsoft.com/office/drawing/2014/main" id="{00000000-0008-0000-0600-0000D5280000}"/>
            </a:ext>
          </a:extLst>
        </xdr:cNvPr>
        <xdr:cNvSpPr>
          <a:spLocks noChangeShapeType="1"/>
        </xdr:cNvSpPr>
      </xdr:nvSpPr>
      <xdr:spPr bwMode="auto">
        <a:xfrm>
          <a:off x="3524250" y="2676525"/>
          <a:ext cx="314325" cy="5048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771525</xdr:colOff>
      <xdr:row>14</xdr:row>
      <xdr:rowOff>47625</xdr:rowOff>
    </xdr:from>
    <xdr:to>
      <xdr:col>4</xdr:col>
      <xdr:colOff>628650</xdr:colOff>
      <xdr:row>19</xdr:row>
      <xdr:rowOff>104775</xdr:rowOff>
    </xdr:to>
    <xdr:sp macro="" textlink="">
      <xdr:nvSpPr>
        <xdr:cNvPr id="10454" name="Line 44">
          <a:extLst>
            <a:ext uri="{FF2B5EF4-FFF2-40B4-BE49-F238E27FC236}">
              <a16:creationId xmlns:a16="http://schemas.microsoft.com/office/drawing/2014/main" id="{00000000-0008-0000-0600-0000D6280000}"/>
            </a:ext>
          </a:extLst>
        </xdr:cNvPr>
        <xdr:cNvSpPr>
          <a:spLocks noChangeShapeType="1"/>
        </xdr:cNvSpPr>
      </xdr:nvSpPr>
      <xdr:spPr bwMode="auto">
        <a:xfrm>
          <a:off x="4000500" y="2314575"/>
          <a:ext cx="1600200" cy="866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1000125</xdr:colOff>
      <xdr:row>13</xdr:row>
      <xdr:rowOff>142875</xdr:rowOff>
    </xdr:from>
    <xdr:to>
      <xdr:col>2</xdr:col>
      <xdr:colOff>28575</xdr:colOff>
      <xdr:row>13</xdr:row>
      <xdr:rowOff>142875</xdr:rowOff>
    </xdr:to>
    <xdr:sp macro="" textlink="">
      <xdr:nvSpPr>
        <xdr:cNvPr id="10455" name="Line 45">
          <a:extLst>
            <a:ext uri="{FF2B5EF4-FFF2-40B4-BE49-F238E27FC236}">
              <a16:creationId xmlns:a16="http://schemas.microsoft.com/office/drawing/2014/main" id="{00000000-0008-0000-0600-0000D7280000}"/>
            </a:ext>
          </a:extLst>
        </xdr:cNvPr>
        <xdr:cNvSpPr>
          <a:spLocks noChangeShapeType="1"/>
        </xdr:cNvSpPr>
      </xdr:nvSpPr>
      <xdr:spPr bwMode="auto">
        <a:xfrm>
          <a:off x="1238250" y="2247900"/>
          <a:ext cx="2762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266700</xdr:colOff>
      <xdr:row>13</xdr:row>
      <xdr:rowOff>142875</xdr:rowOff>
    </xdr:from>
    <xdr:to>
      <xdr:col>2</xdr:col>
      <xdr:colOff>542925</xdr:colOff>
      <xdr:row>13</xdr:row>
      <xdr:rowOff>142875</xdr:rowOff>
    </xdr:to>
    <xdr:sp macro="" textlink="">
      <xdr:nvSpPr>
        <xdr:cNvPr id="10456" name="Line 46">
          <a:extLst>
            <a:ext uri="{FF2B5EF4-FFF2-40B4-BE49-F238E27FC236}">
              <a16:creationId xmlns:a16="http://schemas.microsoft.com/office/drawing/2014/main" id="{00000000-0008-0000-0600-0000D8280000}"/>
            </a:ext>
          </a:extLst>
        </xdr:cNvPr>
        <xdr:cNvSpPr>
          <a:spLocks noChangeShapeType="1"/>
        </xdr:cNvSpPr>
      </xdr:nvSpPr>
      <xdr:spPr bwMode="auto">
        <a:xfrm flipH="1">
          <a:off x="1752600" y="2247900"/>
          <a:ext cx="2762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857250</xdr:colOff>
      <xdr:row>9</xdr:row>
      <xdr:rowOff>114300</xdr:rowOff>
    </xdr:from>
    <xdr:to>
      <xdr:col>2</xdr:col>
      <xdr:colOff>38100</xdr:colOff>
      <xdr:row>9</xdr:row>
      <xdr:rowOff>114300</xdr:rowOff>
    </xdr:to>
    <xdr:sp macro="" textlink="">
      <xdr:nvSpPr>
        <xdr:cNvPr id="10457" name="Line 47">
          <a:extLst>
            <a:ext uri="{FF2B5EF4-FFF2-40B4-BE49-F238E27FC236}">
              <a16:creationId xmlns:a16="http://schemas.microsoft.com/office/drawing/2014/main" id="{00000000-0008-0000-0600-0000D9280000}"/>
            </a:ext>
          </a:extLst>
        </xdr:cNvPr>
        <xdr:cNvSpPr>
          <a:spLocks noChangeShapeType="1"/>
        </xdr:cNvSpPr>
      </xdr:nvSpPr>
      <xdr:spPr bwMode="auto">
        <a:xfrm>
          <a:off x="1095375" y="1571625"/>
          <a:ext cx="4286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866775</xdr:colOff>
      <xdr:row>6</xdr:row>
      <xdr:rowOff>152400</xdr:rowOff>
    </xdr:from>
    <xdr:to>
      <xdr:col>2</xdr:col>
      <xdr:colOff>47625</xdr:colOff>
      <xdr:row>6</xdr:row>
      <xdr:rowOff>152400</xdr:rowOff>
    </xdr:to>
    <xdr:sp macro="" textlink="">
      <xdr:nvSpPr>
        <xdr:cNvPr id="10458" name="Line 48">
          <a:extLst>
            <a:ext uri="{FF2B5EF4-FFF2-40B4-BE49-F238E27FC236}">
              <a16:creationId xmlns:a16="http://schemas.microsoft.com/office/drawing/2014/main" id="{00000000-0008-0000-0600-0000DA280000}"/>
            </a:ext>
          </a:extLst>
        </xdr:cNvPr>
        <xdr:cNvSpPr>
          <a:spLocks noChangeShapeType="1"/>
        </xdr:cNvSpPr>
      </xdr:nvSpPr>
      <xdr:spPr bwMode="auto">
        <a:xfrm>
          <a:off x="1104900" y="1123950"/>
          <a:ext cx="4286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1076325</xdr:colOff>
      <xdr:row>7</xdr:row>
      <xdr:rowOff>0</xdr:rowOff>
    </xdr:from>
    <xdr:to>
      <xdr:col>1</xdr:col>
      <xdr:colOff>1076325</xdr:colOff>
      <xdr:row>9</xdr:row>
      <xdr:rowOff>133350</xdr:rowOff>
    </xdr:to>
    <xdr:sp macro="" textlink="">
      <xdr:nvSpPr>
        <xdr:cNvPr id="10459" name="Line 49">
          <a:extLst>
            <a:ext uri="{FF2B5EF4-FFF2-40B4-BE49-F238E27FC236}">
              <a16:creationId xmlns:a16="http://schemas.microsoft.com/office/drawing/2014/main" id="{00000000-0008-0000-0600-0000DB280000}"/>
            </a:ext>
          </a:extLst>
        </xdr:cNvPr>
        <xdr:cNvSpPr>
          <a:spLocks noChangeShapeType="1"/>
        </xdr:cNvSpPr>
      </xdr:nvSpPr>
      <xdr:spPr bwMode="auto">
        <a:xfrm flipV="1">
          <a:off x="1314450" y="1133475"/>
          <a:ext cx="0" cy="4572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oneCellAnchor>
    <xdr:from>
      <xdr:col>1</xdr:col>
      <xdr:colOff>819150</xdr:colOff>
      <xdr:row>7</xdr:row>
      <xdr:rowOff>85725</xdr:rowOff>
    </xdr:from>
    <xdr:ext cx="134524" cy="194640"/>
    <xdr:sp macro="" textlink="">
      <xdr:nvSpPr>
        <xdr:cNvPr id="10292" name="Text Box 52">
          <a:extLst>
            <a:ext uri="{FF2B5EF4-FFF2-40B4-BE49-F238E27FC236}">
              <a16:creationId xmlns:a16="http://schemas.microsoft.com/office/drawing/2014/main" id="{00000000-0008-0000-0600-000034280000}"/>
            </a:ext>
          </a:extLst>
        </xdr:cNvPr>
        <xdr:cNvSpPr txBox="1">
          <a:spLocks noChangeArrowheads="1"/>
        </xdr:cNvSpPr>
      </xdr:nvSpPr>
      <xdr:spPr bwMode="auto">
        <a:xfrm>
          <a:off x="1057275" y="1219200"/>
          <a:ext cx="134524" cy="194640"/>
        </a:xfrm>
        <a:prstGeom prst="rect">
          <a:avLst/>
        </a:prstGeom>
        <a:noFill/>
        <a:ln w="9525">
          <a:noFill/>
          <a:miter lim="800000"/>
          <a:headEnd/>
          <a:tailEnd/>
        </a:ln>
      </xdr:spPr>
      <xdr:txBody>
        <a:bodyPr wrap="none" lIns="27432" tIns="27432" rIns="0" bIns="0" anchor="t" upright="1">
          <a:spAutoFit/>
        </a:bodyPr>
        <a:lstStyle/>
        <a:p>
          <a:pPr algn="l" rtl="0">
            <a:defRPr sz="1000"/>
          </a:pPr>
          <a:r>
            <a:rPr lang="nb-NO" sz="1000" b="0" i="0" u="none" strike="noStrike" baseline="0">
              <a:solidFill>
                <a:srgbClr val="000000"/>
              </a:solidFill>
              <a:latin typeface="Arial"/>
              <a:cs typeface="Arial"/>
            </a:rPr>
            <a:t>m</a:t>
          </a:r>
        </a:p>
      </xdr:txBody>
    </xdr:sp>
    <xdr:clientData/>
  </xdr:oneCellAnchor>
  <xdr:oneCellAnchor>
    <xdr:from>
      <xdr:col>1</xdr:col>
      <xdr:colOff>809625</xdr:colOff>
      <xdr:row>13</xdr:row>
      <xdr:rowOff>26670</xdr:rowOff>
    </xdr:from>
    <xdr:ext cx="134524" cy="194640"/>
    <xdr:sp macro="" textlink="">
      <xdr:nvSpPr>
        <xdr:cNvPr id="10293" name="Text Box 53">
          <a:extLst>
            <a:ext uri="{FF2B5EF4-FFF2-40B4-BE49-F238E27FC236}">
              <a16:creationId xmlns:a16="http://schemas.microsoft.com/office/drawing/2014/main" id="{00000000-0008-0000-0600-000035280000}"/>
            </a:ext>
          </a:extLst>
        </xdr:cNvPr>
        <xdr:cNvSpPr txBox="1">
          <a:spLocks noChangeArrowheads="1"/>
        </xdr:cNvSpPr>
      </xdr:nvSpPr>
      <xdr:spPr bwMode="auto">
        <a:xfrm>
          <a:off x="1047750" y="2131695"/>
          <a:ext cx="134524" cy="194640"/>
        </a:xfrm>
        <a:prstGeom prst="rect">
          <a:avLst/>
        </a:prstGeom>
        <a:noFill/>
        <a:ln w="9525">
          <a:noFill/>
          <a:miter lim="800000"/>
          <a:headEnd/>
          <a:tailEnd/>
        </a:ln>
      </xdr:spPr>
      <xdr:txBody>
        <a:bodyPr wrap="none" lIns="27432" tIns="27432" rIns="0" bIns="0" anchor="t" upright="1">
          <a:spAutoFit/>
        </a:bodyPr>
        <a:lstStyle/>
        <a:p>
          <a:pPr algn="l" rtl="0">
            <a:defRPr sz="1000"/>
          </a:pPr>
          <a:r>
            <a:rPr lang="nb-NO" sz="1000" b="0" i="0" u="none" strike="noStrike" baseline="0">
              <a:solidFill>
                <a:srgbClr val="000000"/>
              </a:solidFill>
              <a:latin typeface="Arial"/>
              <a:cs typeface="Arial"/>
            </a:rPr>
            <a:t>m</a:t>
          </a:r>
        </a:p>
      </xdr:txBody>
    </xdr:sp>
    <xdr:clientData/>
  </xdr:oneCellAnchor>
  <xdr:oneCellAnchor>
    <xdr:from>
      <xdr:col>4</xdr:col>
      <xdr:colOff>971550</xdr:colOff>
      <xdr:row>11</xdr:row>
      <xdr:rowOff>38100</xdr:rowOff>
    </xdr:from>
    <xdr:ext cx="134524" cy="194640"/>
    <xdr:sp macro="" textlink="">
      <xdr:nvSpPr>
        <xdr:cNvPr id="10295" name="Text Box 55">
          <a:extLst>
            <a:ext uri="{FF2B5EF4-FFF2-40B4-BE49-F238E27FC236}">
              <a16:creationId xmlns:a16="http://schemas.microsoft.com/office/drawing/2014/main" id="{00000000-0008-0000-0600-000037280000}"/>
            </a:ext>
          </a:extLst>
        </xdr:cNvPr>
        <xdr:cNvSpPr txBox="1">
          <a:spLocks noChangeArrowheads="1"/>
        </xdr:cNvSpPr>
      </xdr:nvSpPr>
      <xdr:spPr bwMode="auto">
        <a:xfrm>
          <a:off x="5943600" y="1819275"/>
          <a:ext cx="134524" cy="194640"/>
        </a:xfrm>
        <a:prstGeom prst="rect">
          <a:avLst/>
        </a:prstGeom>
        <a:noFill/>
        <a:ln w="9525">
          <a:noFill/>
          <a:miter lim="800000"/>
          <a:headEnd/>
          <a:tailEnd/>
        </a:ln>
      </xdr:spPr>
      <xdr:txBody>
        <a:bodyPr wrap="none" lIns="27432" tIns="27432" rIns="0" bIns="0" anchor="t" upright="1">
          <a:spAutoFit/>
        </a:bodyPr>
        <a:lstStyle/>
        <a:p>
          <a:pPr algn="l" rtl="0">
            <a:defRPr sz="1000"/>
          </a:pPr>
          <a:r>
            <a:rPr lang="nb-NO" sz="1000" b="0" i="0" u="none" strike="noStrike" baseline="0">
              <a:solidFill>
                <a:srgbClr val="000000"/>
              </a:solidFill>
              <a:latin typeface="Arial"/>
              <a:cs typeface="Arial"/>
            </a:rPr>
            <a:t>m</a:t>
          </a:r>
        </a:p>
      </xdr:txBody>
    </xdr:sp>
    <xdr:clientData/>
  </xdr:oneCellAnchor>
  <xdr:oneCellAnchor>
    <xdr:from>
      <xdr:col>4</xdr:col>
      <xdr:colOff>466725</xdr:colOff>
      <xdr:row>11</xdr:row>
      <xdr:rowOff>38100</xdr:rowOff>
    </xdr:from>
    <xdr:ext cx="514350" cy="175176"/>
    <xdr:sp macro="" textlink="Bygg!C31">
      <xdr:nvSpPr>
        <xdr:cNvPr id="31" name="Text Box 55">
          <a:extLst>
            <a:ext uri="{FF2B5EF4-FFF2-40B4-BE49-F238E27FC236}">
              <a16:creationId xmlns:a16="http://schemas.microsoft.com/office/drawing/2014/main" id="{00000000-0008-0000-0600-00001F000000}"/>
            </a:ext>
          </a:extLst>
        </xdr:cNvPr>
        <xdr:cNvSpPr txBox="1">
          <a:spLocks noChangeArrowheads="1"/>
        </xdr:cNvSpPr>
      </xdr:nvSpPr>
      <xdr:spPr bwMode="auto">
        <a:xfrm>
          <a:off x="5438775" y="1819275"/>
          <a:ext cx="514350" cy="175176"/>
        </a:xfrm>
        <a:prstGeom prst="rect">
          <a:avLst/>
        </a:prstGeom>
        <a:noFill/>
        <a:ln w="9525">
          <a:noFill/>
          <a:miter lim="800000"/>
          <a:headEnd/>
          <a:tailEnd/>
        </a:ln>
      </xdr:spPr>
      <xdr:txBody>
        <a:bodyPr wrap="square" lIns="27432" tIns="27432" rIns="0" bIns="0" anchor="t" upright="1">
          <a:spAutoFit/>
        </a:bodyPr>
        <a:lstStyle/>
        <a:p>
          <a:pPr algn="r" rtl="0">
            <a:defRPr sz="1000"/>
          </a:pPr>
          <a:fld id="{9B1CCCE3-E830-4BEF-88E7-1334947BD211}" type="TxLink">
            <a:rPr lang="en-US" sz="1000" b="0" i="0" u="none" strike="noStrike" baseline="0">
              <a:solidFill>
                <a:srgbClr val="000000"/>
              </a:solidFill>
              <a:latin typeface="Arial"/>
              <a:cs typeface="Arial"/>
            </a:rPr>
            <a:pPr algn="r" rtl="0">
              <a:defRPr sz="1000"/>
            </a:pPr>
            <a:t> </a:t>
          </a:fld>
          <a:endParaRPr lang="nb-NO" sz="1000" b="0" i="0" u="none" strike="noStrike" baseline="0">
            <a:solidFill>
              <a:srgbClr val="000000"/>
            </a:solidFill>
            <a:latin typeface="Arial"/>
            <a:cs typeface="Arial"/>
          </a:endParaRPr>
        </a:p>
      </xdr:txBody>
    </xdr:sp>
    <xdr:clientData/>
  </xdr:oneCellAnchor>
  <xdr:oneCellAnchor>
    <xdr:from>
      <xdr:col>1</xdr:col>
      <xdr:colOff>304800</xdr:colOff>
      <xdr:row>13</xdr:row>
      <xdr:rowOff>28575</xdr:rowOff>
    </xdr:from>
    <xdr:ext cx="514350" cy="175176"/>
    <xdr:sp macro="" textlink="Bygg!G23">
      <xdr:nvSpPr>
        <xdr:cNvPr id="32" name="Text Box 55">
          <a:extLst>
            <a:ext uri="{FF2B5EF4-FFF2-40B4-BE49-F238E27FC236}">
              <a16:creationId xmlns:a16="http://schemas.microsoft.com/office/drawing/2014/main" id="{00000000-0008-0000-0600-000020000000}"/>
            </a:ext>
          </a:extLst>
        </xdr:cNvPr>
        <xdr:cNvSpPr txBox="1">
          <a:spLocks noChangeArrowheads="1"/>
        </xdr:cNvSpPr>
      </xdr:nvSpPr>
      <xdr:spPr bwMode="auto">
        <a:xfrm>
          <a:off x="542925" y="2133600"/>
          <a:ext cx="514350" cy="175176"/>
        </a:xfrm>
        <a:prstGeom prst="rect">
          <a:avLst/>
        </a:prstGeom>
        <a:noFill/>
        <a:ln w="9525">
          <a:noFill/>
          <a:miter lim="800000"/>
          <a:headEnd/>
          <a:tailEnd/>
        </a:ln>
      </xdr:spPr>
      <xdr:txBody>
        <a:bodyPr wrap="square" lIns="27432" tIns="27432" rIns="0" bIns="0" anchor="t" upright="1">
          <a:spAutoFit/>
        </a:bodyPr>
        <a:lstStyle/>
        <a:p>
          <a:pPr algn="r" rtl="0">
            <a:defRPr sz="1000"/>
          </a:pPr>
          <a:fld id="{0142B65A-F226-4321-9644-C007EF62E21D}" type="TxLink">
            <a:rPr lang="en-US" sz="1000" b="0" i="0" u="none" strike="noStrike" baseline="0">
              <a:solidFill>
                <a:srgbClr val="000000"/>
              </a:solidFill>
              <a:latin typeface="Arial"/>
              <a:cs typeface="Arial"/>
            </a:rPr>
            <a:pPr algn="r" rtl="0">
              <a:defRPr sz="1000"/>
            </a:pPr>
            <a:t>0.00</a:t>
          </a:fld>
          <a:endParaRPr lang="nb-NO" sz="1000" b="0" i="0" u="none" strike="noStrike" baseline="0">
            <a:solidFill>
              <a:srgbClr val="000000"/>
            </a:solidFill>
            <a:latin typeface="Arial"/>
            <a:cs typeface="Arial"/>
          </a:endParaRPr>
        </a:p>
      </xdr:txBody>
    </xdr:sp>
    <xdr:clientData/>
  </xdr:oneCellAnchor>
  <xdr:oneCellAnchor>
    <xdr:from>
      <xdr:col>1</xdr:col>
      <xdr:colOff>304800</xdr:colOff>
      <xdr:row>7</xdr:row>
      <xdr:rowOff>95250</xdr:rowOff>
    </xdr:from>
    <xdr:ext cx="514350" cy="175176"/>
    <xdr:sp macro="" textlink="Bygg!G24">
      <xdr:nvSpPr>
        <xdr:cNvPr id="33" name="Text Box 55">
          <a:extLst>
            <a:ext uri="{FF2B5EF4-FFF2-40B4-BE49-F238E27FC236}">
              <a16:creationId xmlns:a16="http://schemas.microsoft.com/office/drawing/2014/main" id="{00000000-0008-0000-0600-000021000000}"/>
            </a:ext>
          </a:extLst>
        </xdr:cNvPr>
        <xdr:cNvSpPr txBox="1">
          <a:spLocks noChangeArrowheads="1"/>
        </xdr:cNvSpPr>
      </xdr:nvSpPr>
      <xdr:spPr bwMode="auto">
        <a:xfrm>
          <a:off x="542925" y="1228725"/>
          <a:ext cx="514350" cy="175176"/>
        </a:xfrm>
        <a:prstGeom prst="rect">
          <a:avLst/>
        </a:prstGeom>
        <a:noFill/>
        <a:ln w="9525">
          <a:noFill/>
          <a:miter lim="800000"/>
          <a:headEnd/>
          <a:tailEnd/>
        </a:ln>
      </xdr:spPr>
      <xdr:txBody>
        <a:bodyPr wrap="square" lIns="27432" tIns="27432" rIns="0" bIns="0" anchor="t" upright="1">
          <a:spAutoFit/>
        </a:bodyPr>
        <a:lstStyle/>
        <a:p>
          <a:pPr algn="r" rtl="0">
            <a:defRPr sz="1000"/>
          </a:pPr>
          <a:fld id="{99E3ED4D-F6BE-49DA-BB03-DD66BAB68715}" type="TxLink">
            <a:rPr lang="en-US" sz="1000" b="0" i="0" u="none" strike="noStrike" baseline="0">
              <a:solidFill>
                <a:srgbClr val="000000"/>
              </a:solidFill>
              <a:latin typeface="Arial"/>
              <a:cs typeface="Arial"/>
            </a:rPr>
            <a:pPr algn="r" rtl="0">
              <a:defRPr sz="1000"/>
            </a:pPr>
            <a:t>0.00</a:t>
          </a:fld>
          <a:endParaRPr lang="nb-NO" sz="1000" b="0" i="0" u="none" strike="noStrike" baseline="0">
            <a:solidFill>
              <a:srgbClr val="000000"/>
            </a:solidFill>
            <a:latin typeface="Arial"/>
            <a:cs typeface="Arial"/>
          </a:endParaRPr>
        </a:p>
      </xdr:txBody>
    </xdr:sp>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vmlDrawing" Target="../drawings/vmlDrawing2.vml"/><Relationship Id="rId21" Type="http://schemas.openxmlformats.org/officeDocument/2006/relationships/comments" Target="../comments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printerSettings" Target="../printerSettings/printerSettings2.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3.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vmlDrawing" Target="../drawings/vmlDrawing3.vml"/><Relationship Id="rId7" Type="http://schemas.openxmlformats.org/officeDocument/2006/relationships/ctrlProp" Target="../ctrlProps/ctrlProp35.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4.xml"/><Relationship Id="rId5" Type="http://schemas.openxmlformats.org/officeDocument/2006/relationships/ctrlProp" Target="../ctrlProps/ctrlProp33.xml"/><Relationship Id="rId4"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0.xml"/><Relationship Id="rId3" Type="http://schemas.openxmlformats.org/officeDocument/2006/relationships/vmlDrawing" Target="../drawings/vmlDrawing4.vml"/><Relationship Id="rId7" Type="http://schemas.openxmlformats.org/officeDocument/2006/relationships/ctrlProp" Target="../ctrlProps/ctrlProp39.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5" Type="http://schemas.openxmlformats.org/officeDocument/2006/relationships/ctrlProp" Target="../ctrlProps/ctrlProp37.xml"/><Relationship Id="rId4" Type="http://schemas.openxmlformats.org/officeDocument/2006/relationships/ctrlProp" Target="../ctrlProps/ctrlProp36.xml"/><Relationship Id="rId9" Type="http://schemas.openxmlformats.org/officeDocument/2006/relationships/ctrlProp" Target="../ctrlProps/ctrlProp4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6.xml"/><Relationship Id="rId13" Type="http://schemas.openxmlformats.org/officeDocument/2006/relationships/ctrlProp" Target="../ctrlProps/ctrlProp51.xml"/><Relationship Id="rId18" Type="http://schemas.openxmlformats.org/officeDocument/2006/relationships/comments" Target="../comments4.xml"/><Relationship Id="rId3" Type="http://schemas.openxmlformats.org/officeDocument/2006/relationships/vmlDrawing" Target="../drawings/vmlDrawing5.vml"/><Relationship Id="rId7" Type="http://schemas.openxmlformats.org/officeDocument/2006/relationships/ctrlProp" Target="../ctrlProps/ctrlProp45.xml"/><Relationship Id="rId12" Type="http://schemas.openxmlformats.org/officeDocument/2006/relationships/ctrlProp" Target="../ctrlProps/ctrlProp50.xml"/><Relationship Id="rId17" Type="http://schemas.openxmlformats.org/officeDocument/2006/relationships/ctrlProp" Target="../ctrlProps/ctrlProp55.xml"/><Relationship Id="rId2" Type="http://schemas.openxmlformats.org/officeDocument/2006/relationships/drawing" Target="../drawings/drawing5.xml"/><Relationship Id="rId16" Type="http://schemas.openxmlformats.org/officeDocument/2006/relationships/ctrlProp" Target="../ctrlProps/ctrlProp54.xml"/><Relationship Id="rId1" Type="http://schemas.openxmlformats.org/officeDocument/2006/relationships/printerSettings" Target="../printerSettings/printerSettings5.bin"/><Relationship Id="rId6" Type="http://schemas.openxmlformats.org/officeDocument/2006/relationships/ctrlProp" Target="../ctrlProps/ctrlProp44.xml"/><Relationship Id="rId11" Type="http://schemas.openxmlformats.org/officeDocument/2006/relationships/ctrlProp" Target="../ctrlProps/ctrlProp49.xml"/><Relationship Id="rId5" Type="http://schemas.openxmlformats.org/officeDocument/2006/relationships/ctrlProp" Target="../ctrlProps/ctrlProp43.xml"/><Relationship Id="rId15" Type="http://schemas.openxmlformats.org/officeDocument/2006/relationships/ctrlProp" Target="../ctrlProps/ctrlProp53.xml"/><Relationship Id="rId10" Type="http://schemas.openxmlformats.org/officeDocument/2006/relationships/ctrlProp" Target="../ctrlProps/ctrlProp48.xml"/><Relationship Id="rId4" Type="http://schemas.openxmlformats.org/officeDocument/2006/relationships/ctrlProp" Target="../ctrlProps/ctrlProp42.xml"/><Relationship Id="rId9" Type="http://schemas.openxmlformats.org/officeDocument/2006/relationships/ctrlProp" Target="../ctrlProps/ctrlProp47.xml"/><Relationship Id="rId14" Type="http://schemas.openxmlformats.org/officeDocument/2006/relationships/ctrlProp" Target="../ctrlProps/ctrlProp5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B2:AD445"/>
  <sheetViews>
    <sheetView showGridLines="0" tabSelected="1" workbookViewId="0">
      <selection activeCell="C3" sqref="C3"/>
    </sheetView>
  </sheetViews>
  <sheetFormatPr defaultColWidth="11.42578125" defaultRowHeight="12.75" x14ac:dyDescent="0.2"/>
  <cols>
    <col min="1" max="1" width="11.42578125" style="5" customWidth="1"/>
    <col min="2" max="2" width="30.140625" style="5" customWidth="1"/>
    <col min="3" max="3" width="16.42578125" style="5" bestFit="1" customWidth="1"/>
    <col min="4" max="4" width="11.42578125" style="5" customWidth="1"/>
    <col min="5" max="5" width="11.5703125" style="5" bestFit="1" customWidth="1"/>
    <col min="6" max="6" width="11.5703125" style="5" customWidth="1"/>
    <col min="7" max="7" width="16.42578125" style="5" customWidth="1"/>
    <col min="8" max="14" width="11.42578125" style="5" customWidth="1"/>
    <col min="15" max="30" width="11.42578125" style="5" hidden="1" customWidth="1"/>
    <col min="31" max="16384" width="11.42578125" style="5"/>
  </cols>
  <sheetData>
    <row r="2" spans="2:28" x14ac:dyDescent="0.2">
      <c r="I2" s="48" t="s">
        <v>607</v>
      </c>
    </row>
    <row r="3" spans="2:28" x14ac:dyDescent="0.2">
      <c r="B3" s="6" t="s">
        <v>38</v>
      </c>
      <c r="C3" s="4"/>
      <c r="D3" s="7"/>
      <c r="E3" s="7"/>
      <c r="F3" s="8"/>
      <c r="I3" s="169" t="s">
        <v>618</v>
      </c>
    </row>
    <row r="4" spans="2:28" ht="12.75" customHeight="1" x14ac:dyDescent="0.2">
      <c r="B4" s="6" t="s">
        <v>39</v>
      </c>
      <c r="C4" s="4"/>
      <c r="D4" s="7"/>
      <c r="E4" s="7"/>
      <c r="F4" s="8"/>
      <c r="O4" s="149">
        <f ca="1">TODAY()</f>
        <v>45929</v>
      </c>
    </row>
    <row r="5" spans="2:28" x14ac:dyDescent="0.2">
      <c r="B5" s="6" t="s">
        <v>40</v>
      </c>
      <c r="C5" s="4"/>
      <c r="D5" s="7"/>
      <c r="E5" s="7"/>
      <c r="F5" s="8"/>
      <c r="I5" s="19"/>
      <c r="O5" s="93">
        <f ca="1">O4</f>
        <v>45929</v>
      </c>
    </row>
    <row r="6" spans="2:28" x14ac:dyDescent="0.2">
      <c r="B6" s="6" t="s">
        <v>41</v>
      </c>
      <c r="C6" s="4"/>
      <c r="D6" s="7"/>
      <c r="E6" s="7"/>
      <c r="F6" s="8"/>
      <c r="O6" s="150">
        <v>40391</v>
      </c>
      <c r="X6"/>
      <c r="Y6" s="142" t="s">
        <v>64</v>
      </c>
      <c r="Z6"/>
      <c r="AA6" s="143"/>
      <c r="AB6"/>
    </row>
    <row r="7" spans="2:28" x14ac:dyDescent="0.2">
      <c r="B7" s="6" t="s">
        <v>42</v>
      </c>
      <c r="C7" s="4"/>
      <c r="D7" s="7"/>
      <c r="E7" s="7"/>
      <c r="F7" s="8"/>
      <c r="O7" s="93">
        <f>O6</f>
        <v>40391</v>
      </c>
      <c r="X7"/>
      <c r="Y7"/>
      <c r="Z7"/>
      <c r="AA7" s="143"/>
      <c r="AB7"/>
    </row>
    <row r="8" spans="2:28" x14ac:dyDescent="0.2">
      <c r="X8"/>
      <c r="Y8"/>
      <c r="Z8"/>
      <c r="AA8" s="143"/>
      <c r="AB8"/>
    </row>
    <row r="9" spans="2:28" ht="12.75" customHeight="1" x14ac:dyDescent="0.2">
      <c r="X9" t="s">
        <v>19</v>
      </c>
      <c r="Y9" s="144" t="s">
        <v>65</v>
      </c>
      <c r="Z9" s="145" t="s">
        <v>58</v>
      </c>
      <c r="AA9" s="144" t="s">
        <v>66</v>
      </c>
      <c r="AB9" s="145" t="s">
        <v>57</v>
      </c>
    </row>
    <row r="10" spans="2:28" x14ac:dyDescent="0.2">
      <c r="B10"/>
      <c r="X10">
        <v>1</v>
      </c>
      <c r="Y10" s="140">
        <v>1622</v>
      </c>
      <c r="Z10" s="146" t="s">
        <v>67</v>
      </c>
      <c r="AA10" s="140">
        <v>27</v>
      </c>
      <c r="AB10" s="146" t="s">
        <v>68</v>
      </c>
    </row>
    <row r="11" spans="2:28" x14ac:dyDescent="0.2">
      <c r="E11" s="138" t="s">
        <v>57</v>
      </c>
      <c r="F11" s="139"/>
      <c r="G11" s="140" t="str">
        <f>VLOOKUP(O13,Kommuner,5,FALSE)</f>
        <v>Oslo</v>
      </c>
      <c r="O11" s="5">
        <f>IF(OR(G11="Nord-Trøndelag",G11="Nordland",G11="Troms"),2,IF(OR(G11="Finnmark",O13=345),3,1))</f>
        <v>1</v>
      </c>
      <c r="X11">
        <v>2</v>
      </c>
      <c r="Y11" s="140">
        <v>1820</v>
      </c>
      <c r="Z11" s="146" t="s">
        <v>69</v>
      </c>
      <c r="AA11" s="140">
        <v>30</v>
      </c>
      <c r="AB11" s="146" t="s">
        <v>70</v>
      </c>
    </row>
    <row r="12" spans="2:28" x14ac:dyDescent="0.2">
      <c r="B12" s="168" t="s">
        <v>515</v>
      </c>
      <c r="E12" s="138" t="s">
        <v>58</v>
      </c>
      <c r="F12" s="139"/>
      <c r="G12" s="11" t="str">
        <f>VLOOKUP(O13,Kommuner,3,FALSE)</f>
        <v>Oslo</v>
      </c>
      <c r="X12">
        <v>3</v>
      </c>
      <c r="Y12" s="140">
        <v>2012</v>
      </c>
      <c r="Z12" s="146" t="s">
        <v>71</v>
      </c>
      <c r="AA12" s="140">
        <v>28</v>
      </c>
      <c r="AB12" s="146" t="s">
        <v>72</v>
      </c>
    </row>
    <row r="13" spans="2:28" x14ac:dyDescent="0.2">
      <c r="E13" s="138" t="s">
        <v>59</v>
      </c>
      <c r="F13" s="139"/>
      <c r="G13" s="140">
        <f>VLOOKUP(O13,Kommuner,4,FALSE)</f>
        <v>22</v>
      </c>
      <c r="O13" s="27">
        <v>258</v>
      </c>
      <c r="X13">
        <v>4</v>
      </c>
      <c r="Y13" s="140">
        <v>438</v>
      </c>
      <c r="Z13" s="146" t="s">
        <v>73</v>
      </c>
      <c r="AA13" s="140">
        <v>24</v>
      </c>
      <c r="AB13" s="146" t="s">
        <v>74</v>
      </c>
    </row>
    <row r="14" spans="2:28" x14ac:dyDescent="0.2">
      <c r="X14">
        <v>5</v>
      </c>
      <c r="Y14" s="140">
        <v>719</v>
      </c>
      <c r="Z14" s="146" t="s">
        <v>75</v>
      </c>
      <c r="AA14" s="140">
        <v>23</v>
      </c>
      <c r="AB14" s="146" t="s">
        <v>76</v>
      </c>
    </row>
    <row r="15" spans="2:28" x14ac:dyDescent="0.2">
      <c r="E15" s="140" t="s">
        <v>60</v>
      </c>
      <c r="F15" s="140" t="s">
        <v>61</v>
      </c>
      <c r="G15" s="140" t="s">
        <v>62</v>
      </c>
      <c r="X15">
        <v>6</v>
      </c>
      <c r="Y15" s="140">
        <v>1871</v>
      </c>
      <c r="Z15" s="146" t="s">
        <v>77</v>
      </c>
      <c r="AA15" s="140">
        <v>31</v>
      </c>
      <c r="AB15" s="146" t="s">
        <v>70</v>
      </c>
    </row>
    <row r="16" spans="2:28" x14ac:dyDescent="0.2">
      <c r="B16" s="141" t="s">
        <v>63</v>
      </c>
      <c r="C16" s="1"/>
      <c r="E16" s="140">
        <f>IF(O11=1,900,IF(O11=2,700,400))</f>
        <v>900</v>
      </c>
      <c r="F16" s="140">
        <f>IF(O11=1,1500,IF(O11=2,1300,1000))</f>
        <v>1500</v>
      </c>
      <c r="G16" s="140">
        <f>IF(C16&gt;F16,F16,C16)</f>
        <v>0</v>
      </c>
      <c r="X16">
        <v>7</v>
      </c>
      <c r="Y16" s="140">
        <v>118</v>
      </c>
      <c r="Z16" s="146" t="s">
        <v>78</v>
      </c>
      <c r="AA16" s="140">
        <v>22</v>
      </c>
      <c r="AB16" s="146" t="s">
        <v>79</v>
      </c>
    </row>
    <row r="17" spans="2:28" x14ac:dyDescent="0.2">
      <c r="O17" s="27">
        <v>8</v>
      </c>
      <c r="X17">
        <v>8</v>
      </c>
      <c r="Y17" s="140">
        <v>906</v>
      </c>
      <c r="Z17" s="146" t="s">
        <v>80</v>
      </c>
      <c r="AA17" s="140">
        <v>26</v>
      </c>
      <c r="AB17" s="146" t="s">
        <v>81</v>
      </c>
    </row>
    <row r="18" spans="2:28" x14ac:dyDescent="0.2">
      <c r="X18">
        <v>9</v>
      </c>
      <c r="Y18" s="140">
        <v>220</v>
      </c>
      <c r="Z18" s="146" t="s">
        <v>82</v>
      </c>
      <c r="AA18" s="140">
        <v>22</v>
      </c>
      <c r="AB18" s="146" t="s">
        <v>83</v>
      </c>
    </row>
    <row r="19" spans="2:28" x14ac:dyDescent="0.2">
      <c r="X19">
        <v>10</v>
      </c>
      <c r="Y19" s="140">
        <v>124</v>
      </c>
      <c r="Z19" s="146" t="s">
        <v>84</v>
      </c>
      <c r="AA19" s="140">
        <v>22</v>
      </c>
      <c r="AB19" s="146" t="s">
        <v>79</v>
      </c>
    </row>
    <row r="20" spans="2:28" x14ac:dyDescent="0.2">
      <c r="X20">
        <v>11</v>
      </c>
      <c r="Y20" s="140">
        <v>1428</v>
      </c>
      <c r="Z20" s="146" t="s">
        <v>85</v>
      </c>
      <c r="AA20" s="140">
        <v>28</v>
      </c>
      <c r="AB20" s="146" t="s">
        <v>86</v>
      </c>
    </row>
    <row r="21" spans="2:28" x14ac:dyDescent="0.2">
      <c r="E21" s="9" t="s">
        <v>56</v>
      </c>
      <c r="F21" s="10"/>
      <c r="G21" s="11" t="str">
        <f>VLOOKUP(O22,Tak,2,FALSE)</f>
        <v>Flatt tak</v>
      </c>
      <c r="X21">
        <v>12</v>
      </c>
      <c r="Y21" s="140">
        <v>1247</v>
      </c>
      <c r="Z21" s="146" t="s">
        <v>87</v>
      </c>
      <c r="AA21" s="140">
        <v>26</v>
      </c>
      <c r="AB21" s="146" t="s">
        <v>88</v>
      </c>
    </row>
    <row r="22" spans="2:28" x14ac:dyDescent="0.2">
      <c r="E22" s="12" t="s">
        <v>55</v>
      </c>
      <c r="F22" s="12"/>
      <c r="G22" s="11" t="str">
        <f>IF(OR(O22=1,O22=2,O22=3),IF(OR(2*(C32+IF(OR(O22=3,O22=2),C33,0))&lt;=C30,2*(C32+IF(OR(O22=3,O22=2),C33,0))&lt;=C31),"Lav","Høy"),IF(2*C32&lt;=C30,"Lav","Høy"))</f>
        <v>Lav</v>
      </c>
      <c r="I22" s="13"/>
      <c r="J22" s="179"/>
      <c r="O22" s="27">
        <v>1</v>
      </c>
      <c r="X22">
        <v>13</v>
      </c>
      <c r="Y22" s="140">
        <v>1027</v>
      </c>
      <c r="Z22" s="146" t="s">
        <v>89</v>
      </c>
      <c r="AA22" s="140">
        <v>24</v>
      </c>
      <c r="AB22" s="146" t="s">
        <v>90</v>
      </c>
    </row>
    <row r="23" spans="2:28" x14ac:dyDescent="0.2">
      <c r="E23" s="12" t="s">
        <v>54</v>
      </c>
      <c r="F23" s="12"/>
      <c r="G23" s="14">
        <f>IF(OR(O22=1,O22=2,O22=3),IF(G22="Lav",(C32+IF(OR(O22=2,O22=3),C33,0))/5,IF(C30&gt;=C31,C30/10,C31/10)),IF(G22="Lav",IF(O22=4,C31,C30)/10,IF(O22=4,C31,C30)/10))</f>
        <v>0</v>
      </c>
      <c r="I23" s="13"/>
      <c r="J23" s="179"/>
      <c r="N23" s="13"/>
      <c r="U23" s="13" t="s">
        <v>36</v>
      </c>
      <c r="V23" s="13" t="s">
        <v>30</v>
      </c>
      <c r="X23">
        <v>14</v>
      </c>
      <c r="Y23" s="140">
        <v>1547</v>
      </c>
      <c r="Z23" s="146" t="s">
        <v>91</v>
      </c>
      <c r="AA23" s="140">
        <v>30</v>
      </c>
      <c r="AB23" s="146" t="s">
        <v>92</v>
      </c>
    </row>
    <row r="24" spans="2:28" x14ac:dyDescent="0.2">
      <c r="E24" s="12" t="s">
        <v>53</v>
      </c>
      <c r="F24" s="12"/>
      <c r="G24" s="14">
        <f>IF(OR(O22=1,O22=2,O22=3),IF(G22="Lav",(C32+IF(OR(O22=2,O22=3),C33,0))/2,IF(C30&gt;=C31,C30/4,C31/4)),IF(O22=4,0,0))</f>
        <v>0</v>
      </c>
      <c r="I24" s="13"/>
      <c r="J24" s="179"/>
      <c r="O24" s="13" t="s">
        <v>19</v>
      </c>
      <c r="P24" s="13" t="s">
        <v>24</v>
      </c>
      <c r="Q24" s="5" t="s">
        <v>21</v>
      </c>
      <c r="R24" s="5" t="s">
        <v>22</v>
      </c>
      <c r="S24" s="5" t="s">
        <v>23</v>
      </c>
      <c r="U24" s="13">
        <v>1</v>
      </c>
      <c r="V24" s="13">
        <v>15</v>
      </c>
      <c r="X24">
        <v>15</v>
      </c>
      <c r="Y24" s="140">
        <v>1569</v>
      </c>
      <c r="Z24" s="146" t="s">
        <v>93</v>
      </c>
      <c r="AA24" s="140">
        <v>29</v>
      </c>
      <c r="AB24" s="146" t="s">
        <v>92</v>
      </c>
    </row>
    <row r="25" spans="2:28" x14ac:dyDescent="0.2">
      <c r="O25" s="5">
        <v>1</v>
      </c>
      <c r="P25" s="5" t="s">
        <v>516</v>
      </c>
      <c r="Q25" s="5">
        <v>-2.5</v>
      </c>
      <c r="R25" s="5">
        <v>-2</v>
      </c>
      <c r="S25" s="5">
        <v>-1</v>
      </c>
      <c r="U25" s="13">
        <v>2</v>
      </c>
      <c r="V25" s="13">
        <v>16</v>
      </c>
      <c r="X25">
        <v>16</v>
      </c>
      <c r="Y25" s="140">
        <v>1421</v>
      </c>
      <c r="Z25" s="146" t="s">
        <v>94</v>
      </c>
      <c r="AA25" s="140">
        <v>25</v>
      </c>
      <c r="AB25" s="146" t="s">
        <v>86</v>
      </c>
    </row>
    <row r="26" spans="2:28" x14ac:dyDescent="0.2">
      <c r="E26" s="9" t="s">
        <v>52</v>
      </c>
      <c r="F26" s="10"/>
      <c r="G26" s="15">
        <f>IF(OR(O22=4,O22=5),0,4*(G23*G24+G23*(G24-G23)))</f>
        <v>0</v>
      </c>
      <c r="O26" s="5">
        <v>2</v>
      </c>
      <c r="P26" s="5" t="s">
        <v>517</v>
      </c>
      <c r="Q26" s="5">
        <v>-2.9</v>
      </c>
      <c r="R26" s="5">
        <v>-2.5</v>
      </c>
      <c r="S26" s="5">
        <v>-1</v>
      </c>
      <c r="U26" s="13">
        <v>3</v>
      </c>
      <c r="V26" s="13">
        <v>17</v>
      </c>
      <c r="X26">
        <v>17</v>
      </c>
      <c r="Y26" s="140">
        <v>221</v>
      </c>
      <c r="Z26" s="146" t="s">
        <v>95</v>
      </c>
      <c r="AA26" s="140">
        <v>22</v>
      </c>
      <c r="AB26" s="146" t="s">
        <v>83</v>
      </c>
    </row>
    <row r="27" spans="2:28" x14ac:dyDescent="0.2">
      <c r="E27" s="9" t="s">
        <v>51</v>
      </c>
      <c r="F27" s="10"/>
      <c r="G27" s="15">
        <f>IF(O22=1,2*G23*(C30-2*G24)+2*G23*(C31-2*G24),IF(O22=2,2*G23*(C30-2*G24)+2*G23*(SQRT(C31^2+C33^2)-2*G24),IF(O22=3,2*G23*(C30-2*G24)+4*G23*(SQRT((C31/2)^2+C33^2)-G24),IF(O22=4,2*G23*C34/C30,PI()*C30*G23))))</f>
        <v>0</v>
      </c>
      <c r="O27" s="5">
        <v>3</v>
      </c>
      <c r="P27" s="5" t="s">
        <v>518</v>
      </c>
      <c r="Q27" s="5">
        <v>-2.5</v>
      </c>
      <c r="R27" s="5">
        <v>-2</v>
      </c>
      <c r="S27" s="5">
        <v>-1</v>
      </c>
      <c r="U27" s="13">
        <v>4</v>
      </c>
      <c r="V27" s="13">
        <v>18</v>
      </c>
      <c r="X27">
        <v>18</v>
      </c>
      <c r="Y27" s="140">
        <v>1244</v>
      </c>
      <c r="Z27" s="146" t="s">
        <v>96</v>
      </c>
      <c r="AA27" s="140">
        <v>28</v>
      </c>
      <c r="AB27" s="146" t="s">
        <v>88</v>
      </c>
    </row>
    <row r="28" spans="2:28" x14ac:dyDescent="0.2">
      <c r="E28" s="9" t="s">
        <v>50</v>
      </c>
      <c r="F28" s="10"/>
      <c r="G28" s="15">
        <f>IF(O22=3,G29-G26-G27-G34,G29-G26-G27)</f>
        <v>0</v>
      </c>
      <c r="H28" s="16"/>
      <c r="O28" s="5">
        <v>4</v>
      </c>
      <c r="P28" s="5" t="s">
        <v>519</v>
      </c>
      <c r="Q28" s="5">
        <v>-2</v>
      </c>
      <c r="R28" s="5">
        <v>-2</v>
      </c>
      <c r="S28" s="5">
        <v>-1</v>
      </c>
      <c r="U28" s="13">
        <v>5</v>
      </c>
      <c r="V28" s="13">
        <v>19</v>
      </c>
      <c r="X28">
        <v>19</v>
      </c>
      <c r="Y28" s="140">
        <v>1264</v>
      </c>
      <c r="Z28" s="146" t="s">
        <v>97</v>
      </c>
      <c r="AA28" s="140">
        <v>28</v>
      </c>
      <c r="AB28" s="146" t="s">
        <v>88</v>
      </c>
    </row>
    <row r="29" spans="2:28" x14ac:dyDescent="0.2">
      <c r="E29" s="12" t="s">
        <v>47</v>
      </c>
      <c r="F29" s="12"/>
      <c r="G29" s="14">
        <f>IF(O22=1,C31*C30,IF(O22=2,SQRT(C31^2+C33^2)*C30,IF(O22=3,2*SQRT((C31/2)^2+C33^2)*C30,IF(O22=4,C34,C34))))</f>
        <v>0</v>
      </c>
      <c r="O29" s="5">
        <v>5</v>
      </c>
      <c r="P29" s="5" t="s">
        <v>520</v>
      </c>
      <c r="Q29" s="5">
        <v>-2</v>
      </c>
      <c r="R29" s="5">
        <v>-2</v>
      </c>
      <c r="S29" s="5">
        <v>-1</v>
      </c>
      <c r="U29" s="13">
        <v>6</v>
      </c>
      <c r="V29" s="13">
        <v>20</v>
      </c>
      <c r="X29">
        <v>20</v>
      </c>
      <c r="Y29" s="140">
        <v>1554</v>
      </c>
      <c r="Z29" s="146" t="s">
        <v>98</v>
      </c>
      <c r="AA29" s="140">
        <v>30</v>
      </c>
      <c r="AB29" s="146" t="s">
        <v>92</v>
      </c>
    </row>
    <row r="30" spans="2:28" x14ac:dyDescent="0.2">
      <c r="B30" s="6" t="s">
        <v>43</v>
      </c>
      <c r="C30" s="2"/>
      <c r="E30" s="19" t="str">
        <f>IF(G28&lt;0,"Program ikke anvendbart","")</f>
        <v/>
      </c>
      <c r="U30" s="13">
        <v>7</v>
      </c>
      <c r="V30" s="13">
        <v>21</v>
      </c>
      <c r="X30">
        <v>21</v>
      </c>
      <c r="Y30" s="140">
        <v>1418</v>
      </c>
      <c r="Z30" s="146" t="s">
        <v>99</v>
      </c>
      <c r="AA30" s="140">
        <v>24</v>
      </c>
      <c r="AB30" s="146" t="s">
        <v>86</v>
      </c>
    </row>
    <row r="31" spans="2:28" x14ac:dyDescent="0.2">
      <c r="B31" s="6" t="s">
        <v>44</v>
      </c>
      <c r="C31" s="2"/>
      <c r="E31" s="9" t="str">
        <f>IF(OR(O22=1,O22=2,O22=3),"Takvinkel (°)","Indikativ takvinkel (°)")</f>
        <v>Takvinkel (°)</v>
      </c>
      <c r="F31" s="10"/>
      <c r="G31" s="14">
        <f>IF(O22=1,0,IF(O22=2,DEGREES(ATAN(C33/C31)),IF(O22=3,DEGREES(ATAN(C33/(C31/2))),IF(O22=4,DEGREES(ACOS(C31/(C34/C30))),DEGREES(ACOS((C30/2)/(C34/(PI()*C30/2))))))))</f>
        <v>0</v>
      </c>
      <c r="P31" s="5" t="s">
        <v>26</v>
      </c>
      <c r="Q31" s="5">
        <v>-2.9</v>
      </c>
      <c r="R31" s="5">
        <v>-2.5</v>
      </c>
      <c r="S31" s="5">
        <v>-1</v>
      </c>
      <c r="U31" s="13">
        <v>8</v>
      </c>
      <c r="V31" s="13">
        <v>22</v>
      </c>
      <c r="X31">
        <v>22</v>
      </c>
      <c r="Y31" s="140">
        <v>1854</v>
      </c>
      <c r="Z31" s="146" t="s">
        <v>100</v>
      </c>
      <c r="AA31" s="140">
        <v>27</v>
      </c>
      <c r="AB31" s="146" t="s">
        <v>70</v>
      </c>
    </row>
    <row r="32" spans="2:28" x14ac:dyDescent="0.2">
      <c r="B32" s="18" t="s">
        <v>45</v>
      </c>
      <c r="C32" s="2"/>
      <c r="E32" s="19" t="str">
        <f>IF(AND(OR(O22=2,O22=3,O22=4,O22=5),G31&lt;4),"Takvinkel er mindre enn 4°. Velg flatt tak.","")</f>
        <v/>
      </c>
      <c r="I32" s="20"/>
      <c r="P32" s="5" t="s">
        <v>25</v>
      </c>
      <c r="S32" s="5">
        <v>-1.5</v>
      </c>
      <c r="U32" s="13">
        <v>9</v>
      </c>
      <c r="V32" s="13">
        <v>23</v>
      </c>
      <c r="X32">
        <v>23</v>
      </c>
      <c r="Y32" s="140">
        <v>1933</v>
      </c>
      <c r="Z32" s="146" t="s">
        <v>101</v>
      </c>
      <c r="AA32" s="140">
        <v>26</v>
      </c>
      <c r="AB32" s="146" t="s">
        <v>102</v>
      </c>
    </row>
    <row r="33" spans="2:28" x14ac:dyDescent="0.2">
      <c r="B33" s="21" t="s">
        <v>46</v>
      </c>
      <c r="C33" s="2"/>
      <c r="E33" s="12" t="s">
        <v>48</v>
      </c>
      <c r="F33" s="12"/>
      <c r="G33" s="11">
        <f>IF(O22=3,IF(G22="Lav",2*(C32+C33)/5,IF(C30&gt;=C31,2*C30/10,2*C31/10)),0)</f>
        <v>0</v>
      </c>
      <c r="I33" s="20"/>
      <c r="U33" s="13">
        <v>10</v>
      </c>
      <c r="V33" s="13">
        <v>24</v>
      </c>
      <c r="X33">
        <v>24</v>
      </c>
      <c r="Y33" s="140">
        <v>814</v>
      </c>
      <c r="Z33" s="146" t="s">
        <v>103</v>
      </c>
      <c r="AA33" s="140">
        <v>23</v>
      </c>
      <c r="AB33" s="146" t="s">
        <v>104</v>
      </c>
    </row>
    <row r="34" spans="2:28" x14ac:dyDescent="0.2">
      <c r="B34" s="21" t="s">
        <v>47</v>
      </c>
      <c r="C34" s="170"/>
      <c r="E34" s="12" t="s">
        <v>49</v>
      </c>
      <c r="F34" s="12"/>
      <c r="G34" s="11">
        <f>IF(O22=3,G33*C30,0)</f>
        <v>0</v>
      </c>
      <c r="P34" s="19"/>
      <c r="U34" s="13">
        <v>11</v>
      </c>
      <c r="V34" s="13">
        <v>25</v>
      </c>
      <c r="X34">
        <v>25</v>
      </c>
      <c r="Y34" s="140">
        <v>1922</v>
      </c>
      <c r="Z34" s="146" t="s">
        <v>105</v>
      </c>
      <c r="AA34" s="140">
        <v>24</v>
      </c>
      <c r="AB34" s="146" t="s">
        <v>102</v>
      </c>
    </row>
    <row r="35" spans="2:28" ht="12.75" customHeight="1" x14ac:dyDescent="0.2">
      <c r="B35" s="179"/>
      <c r="C35" s="19" t="str">
        <f>IF(AND(O22=4,C34&lt;C30*C31),"OBS! SETT INN TAKETS AREAL MANUELT.",IF(AND(O22=5,C34&lt;PI()*(C30/2)^2),"OBS! SETT INN TAKETS AREAL MANUELT.",IF(OR(O22=2,O22=3),"OBS! Takvinkelen er langs takets dybde.","")))</f>
        <v/>
      </c>
      <c r="P35" s="22" t="s">
        <v>37</v>
      </c>
      <c r="Q35" s="22"/>
      <c r="R35" s="22"/>
      <c r="S35" s="22"/>
      <c r="U35" s="13">
        <v>12</v>
      </c>
      <c r="V35" s="13">
        <v>26</v>
      </c>
      <c r="X35">
        <v>26</v>
      </c>
      <c r="Y35" s="140">
        <v>1839</v>
      </c>
      <c r="Z35" s="146" t="s">
        <v>106</v>
      </c>
      <c r="AA35" s="140">
        <v>26</v>
      </c>
      <c r="AB35" s="146" t="s">
        <v>70</v>
      </c>
    </row>
    <row r="36" spans="2:28" ht="12.75" customHeight="1" x14ac:dyDescent="0.25">
      <c r="B36" s="23"/>
      <c r="P36" s="24" t="s">
        <v>24</v>
      </c>
      <c r="Q36" s="22" t="s">
        <v>21</v>
      </c>
      <c r="R36" s="22" t="s">
        <v>22</v>
      </c>
      <c r="S36" s="22" t="s">
        <v>23</v>
      </c>
      <c r="U36" s="13">
        <v>13</v>
      </c>
      <c r="V36" s="13">
        <v>27</v>
      </c>
      <c r="X36">
        <v>27</v>
      </c>
      <c r="Y36" s="140">
        <v>1929</v>
      </c>
      <c r="Z36" s="146" t="s">
        <v>107</v>
      </c>
      <c r="AA36" s="140">
        <v>30</v>
      </c>
      <c r="AB36" s="146" t="s">
        <v>102</v>
      </c>
    </row>
    <row r="37" spans="2:28" ht="12.75" customHeight="1" x14ac:dyDescent="0.25">
      <c r="B37" s="23"/>
      <c r="P37" s="22" t="s">
        <v>31</v>
      </c>
      <c r="Q37" s="22">
        <v>-2.5</v>
      </c>
      <c r="R37" s="22">
        <v>-2</v>
      </c>
      <c r="S37" s="22">
        <v>-1.2</v>
      </c>
      <c r="U37" s="13">
        <v>14</v>
      </c>
      <c r="V37" s="13">
        <v>28</v>
      </c>
      <c r="X37">
        <v>28</v>
      </c>
      <c r="Y37" s="140">
        <v>1201</v>
      </c>
      <c r="Z37" s="146" t="s">
        <v>108</v>
      </c>
      <c r="AA37" s="140">
        <v>26</v>
      </c>
      <c r="AB37" s="146" t="s">
        <v>88</v>
      </c>
    </row>
    <row r="38" spans="2:28" ht="12.75" customHeight="1" x14ac:dyDescent="0.25">
      <c r="B38" s="25"/>
      <c r="P38" s="22" t="s">
        <v>35</v>
      </c>
      <c r="Q38" s="22">
        <v>-2.9</v>
      </c>
      <c r="R38" s="22">
        <v>-2.5</v>
      </c>
      <c r="S38" s="22">
        <v>-1.2</v>
      </c>
      <c r="U38" s="13">
        <v>15</v>
      </c>
      <c r="V38" s="13">
        <v>29</v>
      </c>
      <c r="X38">
        <v>29</v>
      </c>
      <c r="Y38" s="140">
        <v>2024</v>
      </c>
      <c r="Z38" s="146" t="s">
        <v>109</v>
      </c>
      <c r="AA38" s="140">
        <v>30</v>
      </c>
      <c r="AB38" s="146" t="s">
        <v>72</v>
      </c>
    </row>
    <row r="39" spans="2:28" ht="15.75" x14ac:dyDescent="0.25">
      <c r="B39" s="25"/>
      <c r="P39" s="22" t="s">
        <v>34</v>
      </c>
      <c r="Q39" s="22">
        <v>-2.5</v>
      </c>
      <c r="R39" s="22">
        <v>-2</v>
      </c>
      <c r="S39" s="22">
        <v>-1.2</v>
      </c>
      <c r="U39" s="13">
        <v>16</v>
      </c>
      <c r="V39" s="13">
        <v>30</v>
      </c>
      <c r="X39">
        <v>30</v>
      </c>
      <c r="Y39" s="140">
        <v>1811</v>
      </c>
      <c r="Z39" s="146" t="s">
        <v>110</v>
      </c>
      <c r="AA39" s="140">
        <v>30</v>
      </c>
      <c r="AB39" s="146" t="s">
        <v>70</v>
      </c>
    </row>
    <row r="40" spans="2:28" ht="15.75" x14ac:dyDescent="0.25">
      <c r="B40" s="25"/>
      <c r="P40" s="22" t="s">
        <v>33</v>
      </c>
      <c r="Q40" s="22">
        <v>-2</v>
      </c>
      <c r="R40" s="22">
        <v>-2</v>
      </c>
      <c r="S40" s="22">
        <v>-1.2</v>
      </c>
      <c r="U40" s="13">
        <v>17</v>
      </c>
      <c r="V40" s="13">
        <v>31</v>
      </c>
      <c r="X40">
        <v>31</v>
      </c>
      <c r="Y40" s="140">
        <v>928</v>
      </c>
      <c r="Z40" s="146" t="s">
        <v>111</v>
      </c>
      <c r="AA40" s="140">
        <v>24</v>
      </c>
      <c r="AB40" s="146" t="s">
        <v>81</v>
      </c>
    </row>
    <row r="41" spans="2:28" ht="15.75" x14ac:dyDescent="0.25">
      <c r="B41" s="25"/>
      <c r="P41" s="22" t="s">
        <v>32</v>
      </c>
      <c r="Q41" s="22">
        <v>-2</v>
      </c>
      <c r="R41" s="22">
        <v>-2</v>
      </c>
      <c r="S41" s="22">
        <v>-1.2</v>
      </c>
      <c r="U41" s="13">
        <v>18</v>
      </c>
      <c r="V41" s="13">
        <v>32</v>
      </c>
      <c r="X41">
        <v>32</v>
      </c>
      <c r="Y41" s="140">
        <v>1915</v>
      </c>
      <c r="Z41" s="146" t="s">
        <v>112</v>
      </c>
      <c r="AA41" s="140">
        <v>28</v>
      </c>
      <c r="AB41" s="146" t="s">
        <v>102</v>
      </c>
    </row>
    <row r="42" spans="2:28" ht="15.75" x14ac:dyDescent="0.25">
      <c r="B42" s="25"/>
      <c r="P42" s="22" t="s">
        <v>25</v>
      </c>
      <c r="Q42" s="22"/>
      <c r="R42" s="22"/>
      <c r="S42" s="22">
        <v>-1.5</v>
      </c>
      <c r="U42" s="13">
        <v>19</v>
      </c>
      <c r="V42" s="13">
        <v>33</v>
      </c>
      <c r="X42">
        <v>33</v>
      </c>
      <c r="Y42" s="140">
        <v>1114</v>
      </c>
      <c r="Z42" s="146" t="s">
        <v>113</v>
      </c>
      <c r="AA42" s="140">
        <v>26</v>
      </c>
      <c r="AB42" s="146" t="s">
        <v>114</v>
      </c>
    </row>
    <row r="43" spans="2:28" ht="15.75" x14ac:dyDescent="0.25">
      <c r="B43" s="25"/>
      <c r="U43" s="13">
        <v>20</v>
      </c>
      <c r="V43" s="13">
        <v>34</v>
      </c>
      <c r="X43">
        <v>34</v>
      </c>
      <c r="Y43" s="140">
        <v>1627</v>
      </c>
      <c r="Z43" s="146" t="s">
        <v>115</v>
      </c>
      <c r="AA43" s="140">
        <v>29</v>
      </c>
      <c r="AB43" s="146" t="s">
        <v>68</v>
      </c>
    </row>
    <row r="44" spans="2:28" ht="15.75" x14ac:dyDescent="0.25">
      <c r="B44" s="25"/>
      <c r="U44" s="13">
        <v>21</v>
      </c>
      <c r="V44" s="13">
        <v>35</v>
      </c>
      <c r="X44">
        <v>35</v>
      </c>
      <c r="Y44" s="140">
        <v>1804</v>
      </c>
      <c r="Z44" s="146" t="s">
        <v>116</v>
      </c>
      <c r="AA44" s="140">
        <v>30</v>
      </c>
      <c r="AB44" s="146" t="s">
        <v>70</v>
      </c>
    </row>
    <row r="45" spans="2:28" ht="15.75" x14ac:dyDescent="0.25">
      <c r="B45" s="25"/>
      <c r="X45">
        <v>36</v>
      </c>
      <c r="Y45" s="140">
        <v>1145</v>
      </c>
      <c r="Z45" s="146" t="s">
        <v>117</v>
      </c>
      <c r="AA45" s="140">
        <v>28</v>
      </c>
      <c r="AB45" s="146" t="s">
        <v>114</v>
      </c>
    </row>
    <row r="46" spans="2:28" ht="15.75" x14ac:dyDescent="0.25">
      <c r="B46" s="25"/>
      <c r="X46">
        <v>37</v>
      </c>
      <c r="Y46" s="140">
        <v>701</v>
      </c>
      <c r="Z46" s="146" t="s">
        <v>118</v>
      </c>
      <c r="AA46" s="140">
        <v>23</v>
      </c>
      <c r="AB46" s="146" t="s">
        <v>76</v>
      </c>
    </row>
    <row r="47" spans="2:28" ht="15.75" x14ac:dyDescent="0.25">
      <c r="B47" s="26"/>
      <c r="X47">
        <v>38</v>
      </c>
      <c r="Y47" s="140">
        <v>1438</v>
      </c>
      <c r="Z47" s="146" t="s">
        <v>119</v>
      </c>
      <c r="AA47" s="140">
        <v>29</v>
      </c>
      <c r="AB47" s="146" t="s">
        <v>86</v>
      </c>
    </row>
    <row r="48" spans="2:28" x14ac:dyDescent="0.2">
      <c r="X48">
        <v>39</v>
      </c>
      <c r="Y48" s="140">
        <v>1813</v>
      </c>
      <c r="Z48" s="146" t="s">
        <v>120</v>
      </c>
      <c r="AA48" s="140">
        <v>29</v>
      </c>
      <c r="AB48" s="146" t="s">
        <v>70</v>
      </c>
    </row>
    <row r="49" spans="24:28" x14ac:dyDescent="0.2">
      <c r="X49">
        <v>40</v>
      </c>
      <c r="Y49" s="140">
        <v>938</v>
      </c>
      <c r="Z49" s="146" t="s">
        <v>121</v>
      </c>
      <c r="AA49" s="140">
        <v>24</v>
      </c>
      <c r="AB49" s="146" t="s">
        <v>81</v>
      </c>
    </row>
    <row r="50" spans="24:28" x14ac:dyDescent="0.2">
      <c r="X50">
        <v>41</v>
      </c>
      <c r="Y50" s="140">
        <v>941</v>
      </c>
      <c r="Z50" s="146" t="s">
        <v>122</v>
      </c>
      <c r="AA50" s="140">
        <v>24</v>
      </c>
      <c r="AB50" s="146" t="s">
        <v>81</v>
      </c>
    </row>
    <row r="51" spans="24:28" x14ac:dyDescent="0.2">
      <c r="X51">
        <v>42</v>
      </c>
      <c r="Y51" s="140">
        <v>219</v>
      </c>
      <c r="Z51" s="146" t="s">
        <v>123</v>
      </c>
      <c r="AA51" s="140">
        <v>22</v>
      </c>
      <c r="AB51" s="146" t="s">
        <v>83</v>
      </c>
    </row>
    <row r="52" spans="24:28" x14ac:dyDescent="0.2">
      <c r="X52">
        <v>43</v>
      </c>
      <c r="Y52" s="140">
        <v>821</v>
      </c>
      <c r="Z52" s="146" t="s">
        <v>124</v>
      </c>
      <c r="AA52" s="140">
        <v>22</v>
      </c>
      <c r="AB52" s="146" t="s">
        <v>104</v>
      </c>
    </row>
    <row r="53" spans="24:28" x14ac:dyDescent="0.2">
      <c r="X53">
        <v>44</v>
      </c>
      <c r="Y53" s="140">
        <v>1867</v>
      </c>
      <c r="Z53" s="146" t="s">
        <v>124</v>
      </c>
      <c r="AA53" s="140">
        <v>29</v>
      </c>
      <c r="AB53" s="146" t="s">
        <v>70</v>
      </c>
    </row>
    <row r="54" spans="24:28" x14ac:dyDescent="0.2">
      <c r="X54">
        <v>45</v>
      </c>
      <c r="Y54" s="140">
        <v>1219</v>
      </c>
      <c r="Z54" s="146" t="s">
        <v>125</v>
      </c>
      <c r="AA54" s="140">
        <v>28</v>
      </c>
      <c r="AB54" s="146" t="s">
        <v>88</v>
      </c>
    </row>
    <row r="55" spans="24:28" x14ac:dyDescent="0.2">
      <c r="X55">
        <v>46</v>
      </c>
      <c r="Y55" s="140">
        <v>2028</v>
      </c>
      <c r="Z55" s="146" t="s">
        <v>126</v>
      </c>
      <c r="AA55" s="140">
        <v>29</v>
      </c>
      <c r="AB55" s="146" t="s">
        <v>72</v>
      </c>
    </row>
    <row r="56" spans="24:28" x14ac:dyDescent="0.2">
      <c r="X56">
        <v>47</v>
      </c>
      <c r="Y56" s="140">
        <v>511</v>
      </c>
      <c r="Z56" s="146" t="s">
        <v>127</v>
      </c>
      <c r="AA56" s="140">
        <v>24</v>
      </c>
      <c r="AB56" s="146" t="s">
        <v>128</v>
      </c>
    </row>
    <row r="57" spans="24:28" x14ac:dyDescent="0.2">
      <c r="X57">
        <v>48</v>
      </c>
      <c r="Y57" s="140">
        <v>602</v>
      </c>
      <c r="Z57" s="146" t="s">
        <v>129</v>
      </c>
      <c r="AA57" s="140">
        <v>22</v>
      </c>
      <c r="AB57" s="146" t="s">
        <v>130</v>
      </c>
    </row>
    <row r="58" spans="24:28" x14ac:dyDescent="0.2">
      <c r="X58">
        <v>49</v>
      </c>
      <c r="Y58" s="140">
        <v>817</v>
      </c>
      <c r="Z58" s="146" t="s">
        <v>131</v>
      </c>
      <c r="AA58" s="140">
        <v>22</v>
      </c>
      <c r="AB58" s="146" t="s">
        <v>104</v>
      </c>
    </row>
    <row r="59" spans="24:28" x14ac:dyDescent="0.2">
      <c r="X59">
        <v>50</v>
      </c>
      <c r="Y59" s="140">
        <v>1926</v>
      </c>
      <c r="Z59" s="146" t="s">
        <v>132</v>
      </c>
      <c r="AA59" s="140">
        <v>27</v>
      </c>
      <c r="AB59" s="146" t="s">
        <v>102</v>
      </c>
    </row>
    <row r="60" spans="24:28" x14ac:dyDescent="0.2">
      <c r="X60">
        <v>51</v>
      </c>
      <c r="Y60" s="140">
        <v>1827</v>
      </c>
      <c r="Z60" s="146" t="s">
        <v>133</v>
      </c>
      <c r="AA60" s="140">
        <v>30</v>
      </c>
      <c r="AB60" s="146" t="s">
        <v>70</v>
      </c>
    </row>
    <row r="61" spans="24:28" x14ac:dyDescent="0.2">
      <c r="X61">
        <v>52</v>
      </c>
      <c r="Y61" s="140">
        <v>1443</v>
      </c>
      <c r="Z61" s="146" t="s">
        <v>134</v>
      </c>
      <c r="AA61" s="140">
        <v>26</v>
      </c>
      <c r="AB61" s="146" t="s">
        <v>86</v>
      </c>
    </row>
    <row r="62" spans="24:28" x14ac:dyDescent="0.2">
      <c r="X62">
        <v>53</v>
      </c>
      <c r="Y62" s="140">
        <v>1551</v>
      </c>
      <c r="Z62" s="146" t="s">
        <v>135</v>
      </c>
      <c r="AA62" s="140">
        <v>29</v>
      </c>
      <c r="AB62" s="146" t="s">
        <v>92</v>
      </c>
    </row>
    <row r="63" spans="24:28" x14ac:dyDescent="0.2">
      <c r="X63">
        <v>54</v>
      </c>
      <c r="Y63" s="140">
        <v>1232</v>
      </c>
      <c r="Z63" s="146" t="s">
        <v>136</v>
      </c>
      <c r="AA63" s="140">
        <v>26</v>
      </c>
      <c r="AB63" s="146" t="s">
        <v>88</v>
      </c>
    </row>
    <row r="64" spans="24:28" x14ac:dyDescent="0.2">
      <c r="X64">
        <v>55</v>
      </c>
      <c r="Y64" s="140">
        <v>125</v>
      </c>
      <c r="Z64" s="146" t="s">
        <v>137</v>
      </c>
      <c r="AA64" s="140">
        <v>22</v>
      </c>
      <c r="AB64" s="146" t="s">
        <v>79</v>
      </c>
    </row>
    <row r="65" spans="24:28" x14ac:dyDescent="0.2">
      <c r="X65">
        <v>56</v>
      </c>
      <c r="Y65" s="140">
        <v>420</v>
      </c>
      <c r="Z65" s="146" t="s">
        <v>138</v>
      </c>
      <c r="AA65" s="140">
        <v>22</v>
      </c>
      <c r="AB65" s="146" t="s">
        <v>74</v>
      </c>
    </row>
    <row r="66" spans="24:28" x14ac:dyDescent="0.2">
      <c r="X66">
        <v>57</v>
      </c>
      <c r="Y66" s="140">
        <v>237</v>
      </c>
      <c r="Z66" s="146" t="s">
        <v>139</v>
      </c>
      <c r="AA66" s="140">
        <v>22</v>
      </c>
      <c r="AB66" s="146" t="s">
        <v>83</v>
      </c>
    </row>
    <row r="67" spans="24:28" x14ac:dyDescent="0.2">
      <c r="X67">
        <v>58</v>
      </c>
      <c r="Y67" s="140">
        <v>1101</v>
      </c>
      <c r="Z67" s="146" t="s">
        <v>140</v>
      </c>
      <c r="AA67" s="140">
        <v>27</v>
      </c>
      <c r="AB67" s="146" t="s">
        <v>114</v>
      </c>
    </row>
    <row r="68" spans="24:28" x14ac:dyDescent="0.2">
      <c r="X68">
        <v>59</v>
      </c>
      <c r="Y68" s="140">
        <v>427</v>
      </c>
      <c r="Z68" s="146" t="s">
        <v>141</v>
      </c>
      <c r="AA68" s="140">
        <v>22</v>
      </c>
      <c r="AB68" s="146" t="s">
        <v>74</v>
      </c>
    </row>
    <row r="69" spans="24:28" x14ac:dyDescent="0.2">
      <c r="X69">
        <v>60</v>
      </c>
      <c r="Y69" s="140">
        <v>229</v>
      </c>
      <c r="Z69" s="146" t="s">
        <v>142</v>
      </c>
      <c r="AA69" s="140">
        <v>22</v>
      </c>
      <c r="AB69" s="146" t="s">
        <v>83</v>
      </c>
    </row>
    <row r="70" spans="24:28" x14ac:dyDescent="0.2">
      <c r="X70">
        <v>61</v>
      </c>
      <c r="Y70" s="140">
        <v>434</v>
      </c>
      <c r="Z70" s="146" t="s">
        <v>143</v>
      </c>
      <c r="AA70" s="140">
        <v>22</v>
      </c>
      <c r="AB70" s="146" t="s">
        <v>74</v>
      </c>
    </row>
    <row r="71" spans="24:28" x14ac:dyDescent="0.2">
      <c r="X71">
        <v>62</v>
      </c>
      <c r="Y71" s="140">
        <v>1211</v>
      </c>
      <c r="Z71" s="146" t="s">
        <v>144</v>
      </c>
      <c r="AA71" s="140">
        <v>24</v>
      </c>
      <c r="AB71" s="146" t="s">
        <v>88</v>
      </c>
    </row>
    <row r="72" spans="24:28" x14ac:dyDescent="0.2">
      <c r="X72">
        <v>63</v>
      </c>
      <c r="Y72" s="140">
        <v>541</v>
      </c>
      <c r="Z72" s="146" t="s">
        <v>145</v>
      </c>
      <c r="AA72" s="140">
        <v>22</v>
      </c>
      <c r="AB72" s="146" t="s">
        <v>128</v>
      </c>
    </row>
    <row r="73" spans="24:28" x14ac:dyDescent="0.2">
      <c r="X73">
        <v>64</v>
      </c>
      <c r="Y73" s="140">
        <v>1853</v>
      </c>
      <c r="Z73" s="146" t="s">
        <v>146</v>
      </c>
      <c r="AA73" s="140">
        <v>26</v>
      </c>
      <c r="AB73" s="146" t="s">
        <v>70</v>
      </c>
    </row>
    <row r="74" spans="24:28" x14ac:dyDescent="0.2">
      <c r="X74">
        <v>65</v>
      </c>
      <c r="Y74" s="140">
        <v>937</v>
      </c>
      <c r="Z74" s="146" t="s">
        <v>147</v>
      </c>
      <c r="AA74" s="140">
        <v>24</v>
      </c>
      <c r="AB74" s="146" t="s">
        <v>81</v>
      </c>
    </row>
    <row r="75" spans="24:28" x14ac:dyDescent="0.2">
      <c r="X75">
        <v>66</v>
      </c>
      <c r="Y75" s="140">
        <v>1003</v>
      </c>
      <c r="Z75" s="146" t="s">
        <v>148</v>
      </c>
      <c r="AA75" s="140">
        <v>28</v>
      </c>
      <c r="AB75" s="146" t="s">
        <v>90</v>
      </c>
    </row>
    <row r="76" spans="24:28" x14ac:dyDescent="0.2">
      <c r="X76">
        <v>67</v>
      </c>
      <c r="Y76" s="140">
        <v>1841</v>
      </c>
      <c r="Z76" s="146" t="s">
        <v>149</v>
      </c>
      <c r="AA76" s="140">
        <v>26</v>
      </c>
      <c r="AB76" s="146" t="s">
        <v>70</v>
      </c>
    </row>
    <row r="77" spans="24:28" x14ac:dyDescent="0.2">
      <c r="X77">
        <v>68</v>
      </c>
      <c r="Y77" s="140">
        <v>1265</v>
      </c>
      <c r="Z77" s="146" t="s">
        <v>150</v>
      </c>
      <c r="AA77" s="140">
        <v>30</v>
      </c>
      <c r="AB77" s="146" t="s">
        <v>88</v>
      </c>
    </row>
    <row r="78" spans="24:28" x14ac:dyDescent="0.2">
      <c r="X78">
        <v>69</v>
      </c>
      <c r="Y78" s="140">
        <v>227</v>
      </c>
      <c r="Z78" s="146" t="s">
        <v>151</v>
      </c>
      <c r="AA78" s="140">
        <v>22</v>
      </c>
      <c r="AB78" s="146" t="s">
        <v>83</v>
      </c>
    </row>
    <row r="79" spans="24:28" x14ac:dyDescent="0.2">
      <c r="X79">
        <v>70</v>
      </c>
      <c r="Y79" s="140">
        <v>1141</v>
      </c>
      <c r="Z79" s="146" t="s">
        <v>152</v>
      </c>
      <c r="AA79" s="140">
        <v>26</v>
      </c>
      <c r="AB79" s="146" t="s">
        <v>114</v>
      </c>
    </row>
    <row r="80" spans="24:28" x14ac:dyDescent="0.2">
      <c r="X80">
        <v>71</v>
      </c>
      <c r="Y80" s="140">
        <v>1222</v>
      </c>
      <c r="Z80" s="146" t="s">
        <v>153</v>
      </c>
      <c r="AA80" s="140">
        <v>26</v>
      </c>
      <c r="AB80" s="146" t="s">
        <v>88</v>
      </c>
    </row>
    <row r="81" spans="24:28" x14ac:dyDescent="0.2">
      <c r="X81">
        <v>72</v>
      </c>
      <c r="Y81" s="140">
        <v>1429</v>
      </c>
      <c r="Z81" s="146" t="s">
        <v>154</v>
      </c>
      <c r="AA81" s="140">
        <v>26</v>
      </c>
      <c r="AB81" s="146" t="s">
        <v>86</v>
      </c>
    </row>
    <row r="82" spans="24:28" x14ac:dyDescent="0.2">
      <c r="X82">
        <v>73</v>
      </c>
      <c r="Y82" s="140">
        <v>1246</v>
      </c>
      <c r="Z82" s="146" t="s">
        <v>155</v>
      </c>
      <c r="AA82" s="140">
        <v>28</v>
      </c>
      <c r="AB82" s="146" t="s">
        <v>88</v>
      </c>
    </row>
    <row r="83" spans="24:28" x14ac:dyDescent="0.2">
      <c r="X83">
        <v>74</v>
      </c>
      <c r="Y83" s="140">
        <v>1859</v>
      </c>
      <c r="Z83" s="146" t="s">
        <v>156</v>
      </c>
      <c r="AA83" s="140">
        <v>30</v>
      </c>
      <c r="AB83" s="146" t="s">
        <v>70</v>
      </c>
    </row>
    <row r="84" spans="24:28" x14ac:dyDescent="0.2">
      <c r="X84">
        <v>75</v>
      </c>
      <c r="Y84" s="140">
        <v>1749</v>
      </c>
      <c r="Z84" s="146" t="s">
        <v>157</v>
      </c>
      <c r="AA84" s="140">
        <v>29</v>
      </c>
      <c r="AB84" s="146" t="s">
        <v>158</v>
      </c>
    </row>
    <row r="85" spans="24:28" x14ac:dyDescent="0.2">
      <c r="X85">
        <v>76</v>
      </c>
      <c r="Y85" s="140">
        <v>1004</v>
      </c>
      <c r="Z85" s="146" t="s">
        <v>159</v>
      </c>
      <c r="AA85" s="140">
        <v>26</v>
      </c>
      <c r="AB85" s="146" t="s">
        <v>90</v>
      </c>
    </row>
    <row r="86" spans="24:28" x14ac:dyDescent="0.2">
      <c r="X86">
        <v>77</v>
      </c>
      <c r="Y86" s="140">
        <v>631</v>
      </c>
      <c r="Z86" s="146" t="s">
        <v>160</v>
      </c>
      <c r="AA86" s="140">
        <v>22</v>
      </c>
      <c r="AB86" s="146" t="s">
        <v>130</v>
      </c>
    </row>
    <row r="87" spans="24:28" x14ac:dyDescent="0.2">
      <c r="X87">
        <v>78</v>
      </c>
      <c r="Y87" s="140">
        <v>1401</v>
      </c>
      <c r="Z87" s="146" t="s">
        <v>161</v>
      </c>
      <c r="AA87" s="140">
        <v>28</v>
      </c>
      <c r="AB87" s="146" t="s">
        <v>86</v>
      </c>
    </row>
    <row r="88" spans="24:28" x14ac:dyDescent="0.2">
      <c r="X88">
        <v>79</v>
      </c>
      <c r="Y88" s="140">
        <v>615</v>
      </c>
      <c r="Z88" s="146" t="s">
        <v>162</v>
      </c>
      <c r="AA88" s="140">
        <v>22</v>
      </c>
      <c r="AB88" s="146" t="s">
        <v>130</v>
      </c>
    </row>
    <row r="89" spans="24:28" x14ac:dyDescent="0.2">
      <c r="X89">
        <v>80</v>
      </c>
      <c r="Y89" s="140">
        <v>439</v>
      </c>
      <c r="Z89" s="146" t="s">
        <v>163</v>
      </c>
      <c r="AA89" s="140">
        <v>24</v>
      </c>
      <c r="AB89" s="146" t="s">
        <v>74</v>
      </c>
    </row>
    <row r="90" spans="24:28" x14ac:dyDescent="0.2">
      <c r="X90">
        <v>81</v>
      </c>
      <c r="Y90" s="140">
        <v>1129</v>
      </c>
      <c r="Z90" s="146" t="s">
        <v>164</v>
      </c>
      <c r="AA90" s="140">
        <v>26</v>
      </c>
      <c r="AB90" s="146" t="s">
        <v>114</v>
      </c>
    </row>
    <row r="91" spans="24:28" x14ac:dyDescent="0.2">
      <c r="X91">
        <v>82</v>
      </c>
      <c r="Y91" s="140">
        <v>1748</v>
      </c>
      <c r="Z91" s="146" t="s">
        <v>165</v>
      </c>
      <c r="AA91" s="140">
        <v>29</v>
      </c>
      <c r="AB91" s="146" t="s">
        <v>158</v>
      </c>
    </row>
    <row r="92" spans="24:28" x14ac:dyDescent="0.2">
      <c r="X92">
        <v>83</v>
      </c>
      <c r="Y92" s="140">
        <v>106</v>
      </c>
      <c r="Z92" s="146" t="s">
        <v>166</v>
      </c>
      <c r="AA92" s="140">
        <v>26</v>
      </c>
      <c r="AB92" s="146" t="s">
        <v>79</v>
      </c>
    </row>
    <row r="93" spans="24:28" x14ac:dyDescent="0.2">
      <c r="X93">
        <v>84</v>
      </c>
      <c r="Y93" s="140">
        <v>1556</v>
      </c>
      <c r="Z93" s="146" t="s">
        <v>167</v>
      </c>
      <c r="AA93" s="140">
        <v>29</v>
      </c>
      <c r="AB93" s="146" t="s">
        <v>92</v>
      </c>
    </row>
    <row r="94" spans="24:28" x14ac:dyDescent="0.2">
      <c r="X94">
        <v>85</v>
      </c>
      <c r="Y94" s="140">
        <v>215</v>
      </c>
      <c r="Z94" s="146" t="s">
        <v>168</v>
      </c>
      <c r="AA94" s="140">
        <v>22</v>
      </c>
      <c r="AB94" s="146" t="s">
        <v>83</v>
      </c>
    </row>
    <row r="95" spans="24:28" x14ac:dyDescent="0.2">
      <c r="X95">
        <v>86</v>
      </c>
      <c r="Y95" s="140">
        <v>919</v>
      </c>
      <c r="Z95" s="146" t="s">
        <v>169</v>
      </c>
      <c r="AA95" s="140">
        <v>24</v>
      </c>
      <c r="AB95" s="146" t="s">
        <v>81</v>
      </c>
    </row>
    <row r="96" spans="24:28" x14ac:dyDescent="0.2">
      <c r="X96">
        <v>87</v>
      </c>
      <c r="Y96" s="140">
        <v>1717</v>
      </c>
      <c r="Z96" s="146" t="s">
        <v>170</v>
      </c>
      <c r="AA96" s="140">
        <v>26</v>
      </c>
      <c r="AB96" s="146" t="s">
        <v>158</v>
      </c>
    </row>
    <row r="97" spans="24:28" x14ac:dyDescent="0.2">
      <c r="X97">
        <v>88</v>
      </c>
      <c r="Y97" s="140">
        <v>1548</v>
      </c>
      <c r="Z97" s="146" t="s">
        <v>171</v>
      </c>
      <c r="AA97" s="140">
        <v>30</v>
      </c>
      <c r="AB97" s="146" t="s">
        <v>92</v>
      </c>
    </row>
    <row r="98" spans="24:28" x14ac:dyDescent="0.2">
      <c r="X98">
        <v>89</v>
      </c>
      <c r="Y98" s="140">
        <v>1620</v>
      </c>
      <c r="Z98" s="146" t="s">
        <v>172</v>
      </c>
      <c r="AA98" s="140">
        <v>30</v>
      </c>
      <c r="AB98" s="146" t="s">
        <v>68</v>
      </c>
    </row>
    <row r="99" spans="24:28" x14ac:dyDescent="0.2">
      <c r="X99">
        <v>90</v>
      </c>
      <c r="Y99" s="140">
        <v>1241</v>
      </c>
      <c r="Z99" s="146" t="s">
        <v>173</v>
      </c>
      <c r="AA99" s="140">
        <v>26</v>
      </c>
      <c r="AB99" s="146" t="s">
        <v>88</v>
      </c>
    </row>
    <row r="100" spans="24:28" x14ac:dyDescent="0.2">
      <c r="X100">
        <v>91</v>
      </c>
      <c r="Y100" s="140">
        <v>831</v>
      </c>
      <c r="Z100" s="146" t="s">
        <v>174</v>
      </c>
      <c r="AA100" s="140">
        <v>24</v>
      </c>
      <c r="AB100" s="146" t="s">
        <v>104</v>
      </c>
    </row>
    <row r="101" spans="24:28" x14ac:dyDescent="0.2">
      <c r="X101">
        <v>92</v>
      </c>
      <c r="Y101" s="140">
        <v>1432</v>
      </c>
      <c r="Z101" s="146" t="s">
        <v>175</v>
      </c>
      <c r="AA101" s="140">
        <v>26</v>
      </c>
      <c r="AB101" s="146" t="s">
        <v>86</v>
      </c>
    </row>
    <row r="102" spans="24:28" x14ac:dyDescent="0.2">
      <c r="X102">
        <v>93</v>
      </c>
      <c r="Y102" s="140">
        <v>2023</v>
      </c>
      <c r="Z102" s="146" t="s">
        <v>176</v>
      </c>
      <c r="AA102" s="140">
        <v>30</v>
      </c>
      <c r="AB102" s="146" t="s">
        <v>72</v>
      </c>
    </row>
    <row r="103" spans="24:28" x14ac:dyDescent="0.2">
      <c r="X103">
        <v>94</v>
      </c>
      <c r="Y103" s="140">
        <v>1430</v>
      </c>
      <c r="Z103" s="146" t="s">
        <v>177</v>
      </c>
      <c r="AA103" s="140">
        <v>26</v>
      </c>
      <c r="AB103" s="146" t="s">
        <v>86</v>
      </c>
    </row>
    <row r="104" spans="24:28" x14ac:dyDescent="0.2">
      <c r="X104">
        <v>95</v>
      </c>
      <c r="Y104" s="140">
        <v>522</v>
      </c>
      <c r="Z104" s="146" t="s">
        <v>178</v>
      </c>
      <c r="AA104" s="140">
        <v>22</v>
      </c>
      <c r="AB104" s="146" t="s">
        <v>128</v>
      </c>
    </row>
    <row r="105" spans="24:28" x14ac:dyDescent="0.2">
      <c r="X105">
        <v>96</v>
      </c>
      <c r="Y105" s="140">
        <v>1838</v>
      </c>
      <c r="Z105" s="146" t="s">
        <v>179</v>
      </c>
      <c r="AA105" s="140">
        <v>29</v>
      </c>
      <c r="AB105" s="146" t="s">
        <v>70</v>
      </c>
    </row>
    <row r="106" spans="24:28" x14ac:dyDescent="0.2">
      <c r="X106">
        <v>97</v>
      </c>
      <c r="Y106" s="140">
        <v>1532</v>
      </c>
      <c r="Z106" s="146" t="s">
        <v>180</v>
      </c>
      <c r="AA106" s="140">
        <v>30</v>
      </c>
      <c r="AB106" s="146" t="s">
        <v>92</v>
      </c>
    </row>
    <row r="107" spans="24:28" x14ac:dyDescent="0.2">
      <c r="X107">
        <v>98</v>
      </c>
      <c r="Y107" s="140">
        <v>1557</v>
      </c>
      <c r="Z107" s="146" t="s">
        <v>181</v>
      </c>
      <c r="AA107" s="140">
        <v>28</v>
      </c>
      <c r="AB107" s="146" t="s">
        <v>92</v>
      </c>
    </row>
    <row r="108" spans="24:28" x14ac:dyDescent="0.2">
      <c r="X108">
        <v>99</v>
      </c>
      <c r="Y108" s="140">
        <v>234</v>
      </c>
      <c r="Z108" s="146" t="s">
        <v>182</v>
      </c>
      <c r="AA108" s="140">
        <v>22</v>
      </c>
      <c r="AB108" s="146" t="s">
        <v>83</v>
      </c>
    </row>
    <row r="109" spans="24:28" x14ac:dyDescent="0.2">
      <c r="X109">
        <v>100</v>
      </c>
      <c r="Y109" s="140">
        <v>911</v>
      </c>
      <c r="Z109" s="146" t="s">
        <v>183</v>
      </c>
      <c r="AA109" s="140">
        <v>24</v>
      </c>
      <c r="AB109" s="146" t="s">
        <v>81</v>
      </c>
    </row>
    <row r="110" spans="24:28" x14ac:dyDescent="0.2">
      <c r="X110">
        <v>101</v>
      </c>
      <c r="Y110" s="140">
        <v>1122</v>
      </c>
      <c r="Z110" s="146" t="s">
        <v>184</v>
      </c>
      <c r="AA110" s="140">
        <v>26</v>
      </c>
      <c r="AB110" s="146" t="s">
        <v>114</v>
      </c>
    </row>
    <row r="111" spans="24:28" x14ac:dyDescent="0.2">
      <c r="X111">
        <v>102</v>
      </c>
      <c r="Y111" s="140">
        <v>502</v>
      </c>
      <c r="Z111" s="146" t="s">
        <v>185</v>
      </c>
      <c r="AA111" s="140">
        <v>22</v>
      </c>
      <c r="AB111" s="146" t="s">
        <v>128</v>
      </c>
    </row>
    <row r="112" spans="24:28" x14ac:dyDescent="0.2">
      <c r="X112">
        <v>103</v>
      </c>
      <c r="Y112" s="140">
        <v>1445</v>
      </c>
      <c r="Z112" s="146" t="s">
        <v>186</v>
      </c>
      <c r="AA112" s="140">
        <v>26</v>
      </c>
      <c r="AB112" s="146" t="s">
        <v>86</v>
      </c>
    </row>
    <row r="113" spans="24:28" x14ac:dyDescent="0.2">
      <c r="X113">
        <v>104</v>
      </c>
      <c r="Y113" s="140">
        <v>617</v>
      </c>
      <c r="Z113" s="146" t="s">
        <v>187</v>
      </c>
      <c r="AA113" s="140">
        <v>22</v>
      </c>
      <c r="AB113" s="146" t="s">
        <v>130</v>
      </c>
    </row>
    <row r="114" spans="24:28" x14ac:dyDescent="0.2">
      <c r="X114">
        <v>105</v>
      </c>
      <c r="Y114" s="140">
        <v>534</v>
      </c>
      <c r="Z114" s="146" t="s">
        <v>188</v>
      </c>
      <c r="AA114" s="140">
        <v>22</v>
      </c>
      <c r="AB114" s="146" t="s">
        <v>128</v>
      </c>
    </row>
    <row r="115" spans="24:28" x14ac:dyDescent="0.2">
      <c r="X115">
        <v>106</v>
      </c>
      <c r="Y115" s="140">
        <v>1825</v>
      </c>
      <c r="Z115" s="146" t="s">
        <v>189</v>
      </c>
      <c r="AA115" s="140">
        <v>26</v>
      </c>
      <c r="AB115" s="146" t="s">
        <v>70</v>
      </c>
    </row>
    <row r="116" spans="24:28" x14ac:dyDescent="0.2">
      <c r="X116">
        <v>107</v>
      </c>
      <c r="Y116" s="140">
        <v>1234</v>
      </c>
      <c r="Z116" s="146" t="s">
        <v>190</v>
      </c>
      <c r="AA116" s="140">
        <v>24</v>
      </c>
      <c r="AB116" s="146" t="s">
        <v>88</v>
      </c>
    </row>
    <row r="117" spans="24:28" x14ac:dyDescent="0.2">
      <c r="X117">
        <v>108</v>
      </c>
      <c r="Y117" s="140">
        <v>1919</v>
      </c>
      <c r="Z117" s="146" t="s">
        <v>191</v>
      </c>
      <c r="AA117" s="140">
        <v>26</v>
      </c>
      <c r="AB117" s="146" t="s">
        <v>102</v>
      </c>
    </row>
    <row r="118" spans="24:28" x14ac:dyDescent="0.2">
      <c r="X118">
        <v>109</v>
      </c>
      <c r="Y118" s="140">
        <v>904</v>
      </c>
      <c r="Z118" s="146" t="s">
        <v>192</v>
      </c>
      <c r="AA118" s="140">
        <v>26</v>
      </c>
      <c r="AB118" s="146" t="s">
        <v>81</v>
      </c>
    </row>
    <row r="119" spans="24:28" x14ac:dyDescent="0.2">
      <c r="X119">
        <v>110</v>
      </c>
      <c r="Y119" s="140">
        <v>1742</v>
      </c>
      <c r="Z119" s="146" t="s">
        <v>193</v>
      </c>
      <c r="AA119" s="140">
        <v>26</v>
      </c>
      <c r="AB119" s="146" t="s">
        <v>158</v>
      </c>
    </row>
    <row r="120" spans="24:28" x14ac:dyDescent="0.2">
      <c r="X120">
        <v>111</v>
      </c>
      <c r="Y120" s="140">
        <v>423</v>
      </c>
      <c r="Z120" s="146" t="s">
        <v>194</v>
      </c>
      <c r="AA120" s="140">
        <v>22</v>
      </c>
      <c r="AB120" s="146" t="s">
        <v>74</v>
      </c>
    </row>
    <row r="121" spans="24:28" x14ac:dyDescent="0.2">
      <c r="X121">
        <v>112</v>
      </c>
      <c r="Y121" s="140">
        <v>1411</v>
      </c>
      <c r="Z121" s="146" t="s">
        <v>195</v>
      </c>
      <c r="AA121" s="140">
        <v>28</v>
      </c>
      <c r="AB121" s="146" t="s">
        <v>86</v>
      </c>
    </row>
    <row r="122" spans="24:28" x14ac:dyDescent="0.2">
      <c r="X122">
        <v>113</v>
      </c>
      <c r="Y122" s="140">
        <v>1866</v>
      </c>
      <c r="Z122" s="146" t="s">
        <v>196</v>
      </c>
      <c r="AA122" s="140">
        <v>29</v>
      </c>
      <c r="AB122" s="146" t="s">
        <v>70</v>
      </c>
    </row>
    <row r="123" spans="24:28" x14ac:dyDescent="0.2">
      <c r="X123">
        <v>114</v>
      </c>
      <c r="Y123" s="140">
        <v>101</v>
      </c>
      <c r="Z123" s="146" t="s">
        <v>197</v>
      </c>
      <c r="AA123" s="140">
        <v>24</v>
      </c>
      <c r="AB123" s="146" t="s">
        <v>79</v>
      </c>
    </row>
    <row r="124" spans="24:28" x14ac:dyDescent="0.2">
      <c r="X124">
        <v>115</v>
      </c>
      <c r="Y124" s="140">
        <v>1571</v>
      </c>
      <c r="Z124" s="146" t="s">
        <v>198</v>
      </c>
      <c r="AA124" s="140">
        <v>29</v>
      </c>
      <c r="AB124" s="146" t="s">
        <v>92</v>
      </c>
    </row>
    <row r="125" spans="24:28" x14ac:dyDescent="0.2">
      <c r="X125">
        <v>116</v>
      </c>
      <c r="Y125" s="140">
        <v>403</v>
      </c>
      <c r="Z125" s="146" t="s">
        <v>199</v>
      </c>
      <c r="AA125" s="140">
        <v>22</v>
      </c>
      <c r="AB125" s="146" t="s">
        <v>74</v>
      </c>
    </row>
    <row r="126" spans="24:28" x14ac:dyDescent="0.2">
      <c r="X126">
        <v>117</v>
      </c>
      <c r="Y126" s="140">
        <v>1849</v>
      </c>
      <c r="Z126" s="146" t="s">
        <v>200</v>
      </c>
      <c r="AA126" s="140">
        <v>28</v>
      </c>
      <c r="AB126" s="146" t="s">
        <v>70</v>
      </c>
    </row>
    <row r="127" spans="24:28" x14ac:dyDescent="0.2">
      <c r="X127">
        <v>118</v>
      </c>
      <c r="Y127" s="140">
        <v>2004</v>
      </c>
      <c r="Z127" s="146" t="s">
        <v>201</v>
      </c>
      <c r="AA127" s="140">
        <v>29</v>
      </c>
      <c r="AB127" s="146" t="s">
        <v>72</v>
      </c>
    </row>
    <row r="128" spans="24:28" x14ac:dyDescent="0.2">
      <c r="X128">
        <v>119</v>
      </c>
      <c r="Y128" s="140">
        <v>1534</v>
      </c>
      <c r="Z128" s="146" t="s">
        <v>202</v>
      </c>
      <c r="AA128" s="140">
        <v>30</v>
      </c>
      <c r="AB128" s="146" t="s">
        <v>92</v>
      </c>
    </row>
    <row r="129" spans="24:28" x14ac:dyDescent="0.2">
      <c r="X129">
        <v>120</v>
      </c>
      <c r="Y129" s="140">
        <v>1517</v>
      </c>
      <c r="Z129" s="146" t="s">
        <v>203</v>
      </c>
      <c r="AA129" s="140">
        <v>29</v>
      </c>
      <c r="AB129" s="146" t="s">
        <v>92</v>
      </c>
    </row>
    <row r="130" spans="24:28" x14ac:dyDescent="0.2">
      <c r="X130">
        <v>121</v>
      </c>
      <c r="Y130" s="140">
        <v>1901</v>
      </c>
      <c r="Z130" s="146" t="s">
        <v>204</v>
      </c>
      <c r="AA130" s="140">
        <v>27</v>
      </c>
      <c r="AB130" s="146" t="s">
        <v>102</v>
      </c>
    </row>
    <row r="131" spans="24:28" x14ac:dyDescent="0.2">
      <c r="X131">
        <v>122</v>
      </c>
      <c r="Y131" s="140">
        <v>2015</v>
      </c>
      <c r="Z131" s="146" t="s">
        <v>205</v>
      </c>
      <c r="AA131" s="140">
        <v>30</v>
      </c>
      <c r="AB131" s="146" t="s">
        <v>72</v>
      </c>
    </row>
    <row r="132" spans="24:28" x14ac:dyDescent="0.2">
      <c r="X132">
        <v>123</v>
      </c>
      <c r="Y132" s="140">
        <v>1826</v>
      </c>
      <c r="Z132" s="146" t="s">
        <v>206</v>
      </c>
      <c r="AA132" s="140">
        <v>26</v>
      </c>
      <c r="AB132" s="146" t="s">
        <v>70</v>
      </c>
    </row>
    <row r="133" spans="24:28" x14ac:dyDescent="0.2">
      <c r="X133">
        <v>124</v>
      </c>
      <c r="Y133" s="140">
        <v>1106</v>
      </c>
      <c r="Z133" s="146" t="s">
        <v>207</v>
      </c>
      <c r="AA133" s="140">
        <v>28</v>
      </c>
      <c r="AB133" s="146" t="s">
        <v>114</v>
      </c>
    </row>
    <row r="134" spans="24:28" x14ac:dyDescent="0.2">
      <c r="X134">
        <v>125</v>
      </c>
      <c r="Y134" s="140">
        <v>1612</v>
      </c>
      <c r="Z134" s="146" t="s">
        <v>208</v>
      </c>
      <c r="AA134" s="140">
        <v>28</v>
      </c>
      <c r="AB134" s="146" t="s">
        <v>68</v>
      </c>
    </row>
    <row r="135" spans="24:28" x14ac:dyDescent="0.2">
      <c r="X135">
        <v>126</v>
      </c>
      <c r="Y135" s="140">
        <v>1832</v>
      </c>
      <c r="Z135" s="146" t="s">
        <v>209</v>
      </c>
      <c r="AA135" s="140">
        <v>26</v>
      </c>
      <c r="AB135" s="146" t="s">
        <v>70</v>
      </c>
    </row>
    <row r="136" spans="24:28" x14ac:dyDescent="0.2">
      <c r="X136">
        <v>127</v>
      </c>
      <c r="Y136" s="140">
        <v>618</v>
      </c>
      <c r="Z136" s="146" t="s">
        <v>210</v>
      </c>
      <c r="AA136" s="140">
        <v>24</v>
      </c>
      <c r="AB136" s="146" t="s">
        <v>130</v>
      </c>
    </row>
    <row r="137" spans="24:28" x14ac:dyDescent="0.2">
      <c r="X137">
        <v>128</v>
      </c>
      <c r="Y137" s="140">
        <v>1515</v>
      </c>
      <c r="Z137" s="146" t="s">
        <v>211</v>
      </c>
      <c r="AA137" s="140">
        <v>30</v>
      </c>
      <c r="AB137" s="146" t="s">
        <v>92</v>
      </c>
    </row>
    <row r="138" spans="24:28" x14ac:dyDescent="0.2">
      <c r="X138">
        <v>129</v>
      </c>
      <c r="Y138" s="140">
        <v>1818</v>
      </c>
      <c r="Z138" s="146" t="s">
        <v>211</v>
      </c>
      <c r="AA138" s="140">
        <v>30</v>
      </c>
      <c r="AB138" s="146" t="s">
        <v>70</v>
      </c>
    </row>
    <row r="139" spans="24:28" x14ac:dyDescent="0.2">
      <c r="X139">
        <v>130</v>
      </c>
      <c r="Y139" s="140">
        <v>1617</v>
      </c>
      <c r="Z139" s="146" t="s">
        <v>212</v>
      </c>
      <c r="AA139" s="140">
        <v>30</v>
      </c>
      <c r="AB139" s="146" t="s">
        <v>68</v>
      </c>
    </row>
    <row r="140" spans="24:28" x14ac:dyDescent="0.2">
      <c r="X140">
        <v>131</v>
      </c>
      <c r="Y140" s="140">
        <v>827</v>
      </c>
      <c r="Z140" s="146" t="s">
        <v>213</v>
      </c>
      <c r="AA140" s="140">
        <v>22</v>
      </c>
      <c r="AB140" s="146" t="s">
        <v>104</v>
      </c>
    </row>
    <row r="141" spans="24:28" x14ac:dyDescent="0.2">
      <c r="X141">
        <v>132</v>
      </c>
      <c r="Y141" s="140">
        <v>1133</v>
      </c>
      <c r="Z141" s="146" t="s">
        <v>214</v>
      </c>
      <c r="AA141" s="140">
        <v>24</v>
      </c>
      <c r="AB141" s="146" t="s">
        <v>114</v>
      </c>
    </row>
    <row r="142" spans="24:28" x14ac:dyDescent="0.2">
      <c r="X142">
        <v>133</v>
      </c>
      <c r="Y142" s="140">
        <v>138</v>
      </c>
      <c r="Z142" s="146" t="s">
        <v>215</v>
      </c>
      <c r="AA142" s="140">
        <v>22</v>
      </c>
      <c r="AB142" s="146" t="s">
        <v>79</v>
      </c>
    </row>
    <row r="143" spans="24:28" x14ac:dyDescent="0.2">
      <c r="X143">
        <v>134</v>
      </c>
      <c r="Y143" s="140">
        <v>714</v>
      </c>
      <c r="Z143" s="146" t="s">
        <v>216</v>
      </c>
      <c r="AA143" s="140">
        <v>22</v>
      </c>
      <c r="AB143" s="146" t="s">
        <v>76</v>
      </c>
    </row>
    <row r="144" spans="24:28" x14ac:dyDescent="0.2">
      <c r="X144">
        <v>135</v>
      </c>
      <c r="Y144" s="140">
        <v>620</v>
      </c>
      <c r="Z144" s="146" t="s">
        <v>217</v>
      </c>
      <c r="AA144" s="140">
        <v>24</v>
      </c>
      <c r="AB144" s="146" t="s">
        <v>130</v>
      </c>
    </row>
    <row r="145" spans="24:28" x14ac:dyDescent="0.2">
      <c r="X145">
        <v>136</v>
      </c>
      <c r="Y145" s="140">
        <v>612</v>
      </c>
      <c r="Z145" s="146" t="s">
        <v>218</v>
      </c>
      <c r="AA145" s="140">
        <v>22</v>
      </c>
      <c r="AB145" s="146" t="s">
        <v>130</v>
      </c>
    </row>
    <row r="146" spans="24:28" x14ac:dyDescent="0.2">
      <c r="X146">
        <v>137</v>
      </c>
      <c r="Y146" s="140">
        <v>702</v>
      </c>
      <c r="Z146" s="146" t="s">
        <v>219</v>
      </c>
      <c r="AA146" s="140">
        <v>23</v>
      </c>
      <c r="AB146" s="146" t="s">
        <v>76</v>
      </c>
    </row>
    <row r="147" spans="24:28" x14ac:dyDescent="0.2">
      <c r="X147">
        <v>138</v>
      </c>
      <c r="Y147" s="140">
        <v>1644</v>
      </c>
      <c r="Z147" s="146" t="s">
        <v>220</v>
      </c>
      <c r="AA147" s="140">
        <v>25</v>
      </c>
      <c r="AB147" s="146" t="s">
        <v>68</v>
      </c>
    </row>
    <row r="148" spans="24:28" x14ac:dyDescent="0.2">
      <c r="X148">
        <v>139</v>
      </c>
      <c r="Y148" s="140">
        <v>1444</v>
      </c>
      <c r="Z148" s="146" t="s">
        <v>221</v>
      </c>
      <c r="AA148" s="140">
        <v>26</v>
      </c>
      <c r="AB148" s="146" t="s">
        <v>86</v>
      </c>
    </row>
    <row r="149" spans="24:28" x14ac:dyDescent="0.2">
      <c r="X149">
        <v>140</v>
      </c>
      <c r="Y149" s="140">
        <v>239</v>
      </c>
      <c r="Z149" s="146" t="s">
        <v>222</v>
      </c>
      <c r="AA149" s="140">
        <v>22</v>
      </c>
      <c r="AB149" s="146" t="s">
        <v>83</v>
      </c>
    </row>
    <row r="150" spans="24:28" x14ac:dyDescent="0.2">
      <c r="X150">
        <v>141</v>
      </c>
      <c r="Y150" s="140">
        <v>628</v>
      </c>
      <c r="Z150" s="146" t="s">
        <v>223</v>
      </c>
      <c r="AA150" s="140">
        <v>24</v>
      </c>
      <c r="AB150" s="146" t="s">
        <v>130</v>
      </c>
    </row>
    <row r="151" spans="24:28" x14ac:dyDescent="0.2">
      <c r="X151">
        <v>142</v>
      </c>
      <c r="Y151" s="140">
        <v>111</v>
      </c>
      <c r="Z151" s="146" t="s">
        <v>224</v>
      </c>
      <c r="AA151" s="140">
        <v>27</v>
      </c>
      <c r="AB151" s="146" t="s">
        <v>79</v>
      </c>
    </row>
    <row r="152" spans="24:28" x14ac:dyDescent="0.2">
      <c r="X152">
        <v>143</v>
      </c>
      <c r="Y152" s="140">
        <v>1413</v>
      </c>
      <c r="Z152" s="146" t="s">
        <v>225</v>
      </c>
      <c r="AA152" s="140">
        <v>26</v>
      </c>
      <c r="AB152" s="146" t="s">
        <v>86</v>
      </c>
    </row>
    <row r="153" spans="24:28" x14ac:dyDescent="0.2">
      <c r="X153">
        <v>144</v>
      </c>
      <c r="Y153" s="140">
        <v>1034</v>
      </c>
      <c r="Z153" s="146" t="s">
        <v>226</v>
      </c>
      <c r="AA153" s="140">
        <v>24</v>
      </c>
      <c r="AB153" s="146" t="s">
        <v>90</v>
      </c>
    </row>
    <row r="154" spans="24:28" x14ac:dyDescent="0.2">
      <c r="X154">
        <v>145</v>
      </c>
      <c r="Y154" s="140">
        <v>1416</v>
      </c>
      <c r="Z154" s="146" t="s">
        <v>227</v>
      </c>
      <c r="AA154" s="140">
        <v>26</v>
      </c>
      <c r="AB154" s="146" t="s">
        <v>86</v>
      </c>
    </row>
    <row r="155" spans="24:28" x14ac:dyDescent="0.2">
      <c r="X155">
        <v>146</v>
      </c>
      <c r="Y155" s="140">
        <v>1743</v>
      </c>
      <c r="Z155" s="146" t="s">
        <v>228</v>
      </c>
      <c r="AA155" s="140">
        <v>26</v>
      </c>
      <c r="AB155" s="146" t="s">
        <v>158</v>
      </c>
    </row>
    <row r="156" spans="24:28" x14ac:dyDescent="0.2">
      <c r="X156">
        <v>147</v>
      </c>
      <c r="Y156" s="140">
        <v>1119</v>
      </c>
      <c r="Z156" s="146" t="s">
        <v>229</v>
      </c>
      <c r="AA156" s="140">
        <v>29</v>
      </c>
      <c r="AB156" s="146" t="s">
        <v>114</v>
      </c>
    </row>
    <row r="157" spans="24:28" x14ac:dyDescent="0.2">
      <c r="X157">
        <v>148</v>
      </c>
      <c r="Y157" s="140">
        <v>1917</v>
      </c>
      <c r="Z157" s="146" t="s">
        <v>230</v>
      </c>
      <c r="AA157" s="140">
        <v>26</v>
      </c>
      <c r="AB157" s="146" t="s">
        <v>102</v>
      </c>
    </row>
    <row r="158" spans="24:28" x14ac:dyDescent="0.2">
      <c r="X158">
        <v>149</v>
      </c>
      <c r="Y158" s="140">
        <v>1729</v>
      </c>
      <c r="Z158" s="146" t="s">
        <v>231</v>
      </c>
      <c r="AA158" s="140">
        <v>26</v>
      </c>
      <c r="AB158" s="146" t="s">
        <v>158</v>
      </c>
    </row>
    <row r="159" spans="24:28" x14ac:dyDescent="0.2">
      <c r="X159">
        <v>150</v>
      </c>
      <c r="Y159" s="140">
        <v>935</v>
      </c>
      <c r="Z159" s="146" t="s">
        <v>232</v>
      </c>
      <c r="AA159" s="140">
        <v>24</v>
      </c>
      <c r="AB159" s="146" t="s">
        <v>81</v>
      </c>
    </row>
    <row r="160" spans="24:28" x14ac:dyDescent="0.2">
      <c r="X160">
        <v>151</v>
      </c>
      <c r="Y160" s="140">
        <v>532</v>
      </c>
      <c r="Z160" s="146" t="s">
        <v>233</v>
      </c>
      <c r="AA160" s="140">
        <v>22</v>
      </c>
      <c r="AB160" s="146" t="s">
        <v>128</v>
      </c>
    </row>
    <row r="161" spans="24:28" x14ac:dyDescent="0.2">
      <c r="X161">
        <v>152</v>
      </c>
      <c r="Y161" s="140">
        <v>1227</v>
      </c>
      <c r="Z161" s="146" t="s">
        <v>234</v>
      </c>
      <c r="AA161" s="140">
        <v>26</v>
      </c>
      <c r="AB161" s="146" t="s">
        <v>88</v>
      </c>
    </row>
    <row r="162" spans="24:28" x14ac:dyDescent="0.2">
      <c r="X162">
        <v>153</v>
      </c>
      <c r="Y162" s="140">
        <v>1431</v>
      </c>
      <c r="Z162" s="146" t="s">
        <v>235</v>
      </c>
      <c r="AA162" s="140">
        <v>24</v>
      </c>
      <c r="AB162" s="146" t="s">
        <v>86</v>
      </c>
    </row>
    <row r="163" spans="24:28" x14ac:dyDescent="0.2">
      <c r="X163">
        <v>154</v>
      </c>
      <c r="Y163" s="140">
        <v>2021</v>
      </c>
      <c r="Z163" s="146" t="s">
        <v>236</v>
      </c>
      <c r="AA163" s="140">
        <v>24</v>
      </c>
      <c r="AB163" s="146" t="s">
        <v>72</v>
      </c>
    </row>
    <row r="164" spans="24:28" x14ac:dyDescent="0.2">
      <c r="X164">
        <v>155</v>
      </c>
      <c r="Y164" s="140">
        <v>1936</v>
      </c>
      <c r="Z164" s="146" t="s">
        <v>237</v>
      </c>
      <c r="AA164" s="140">
        <v>29</v>
      </c>
      <c r="AB164" s="146" t="s">
        <v>102</v>
      </c>
    </row>
    <row r="165" spans="24:28" x14ac:dyDescent="0.2">
      <c r="X165">
        <v>156</v>
      </c>
      <c r="Y165" s="140">
        <v>1149</v>
      </c>
      <c r="Z165" s="146" t="s">
        <v>238</v>
      </c>
      <c r="AA165" s="140">
        <v>30</v>
      </c>
      <c r="AB165" s="146" t="s">
        <v>114</v>
      </c>
    </row>
    <row r="166" spans="24:28" x14ac:dyDescent="0.2">
      <c r="X166">
        <v>157</v>
      </c>
      <c r="Y166" s="140">
        <v>2011</v>
      </c>
      <c r="Z166" s="146" t="s">
        <v>239</v>
      </c>
      <c r="AA166" s="140">
        <v>24</v>
      </c>
      <c r="AB166" s="146" t="s">
        <v>72</v>
      </c>
    </row>
    <row r="167" spans="24:28" x14ac:dyDescent="0.2">
      <c r="X167">
        <v>158</v>
      </c>
      <c r="Y167" s="140">
        <v>1120</v>
      </c>
      <c r="Z167" s="146" t="s">
        <v>240</v>
      </c>
      <c r="AA167" s="140">
        <v>28</v>
      </c>
      <c r="AB167" s="146" t="s">
        <v>114</v>
      </c>
    </row>
    <row r="168" spans="24:28" x14ac:dyDescent="0.2">
      <c r="X168">
        <v>159</v>
      </c>
      <c r="Y168" s="140">
        <v>1662</v>
      </c>
      <c r="Z168" s="146" t="s">
        <v>241</v>
      </c>
      <c r="AA168" s="140">
        <v>25</v>
      </c>
      <c r="AB168" s="146" t="s">
        <v>68</v>
      </c>
    </row>
    <row r="169" spans="24:28" x14ac:dyDescent="0.2">
      <c r="X169">
        <v>160</v>
      </c>
      <c r="Y169" s="140">
        <v>604</v>
      </c>
      <c r="Z169" s="146" t="s">
        <v>242</v>
      </c>
      <c r="AA169" s="140">
        <v>22</v>
      </c>
      <c r="AB169" s="146" t="s">
        <v>130</v>
      </c>
    </row>
    <row r="170" spans="24:28" x14ac:dyDescent="0.2">
      <c r="X170">
        <v>161</v>
      </c>
      <c r="Y170" s="140">
        <v>402</v>
      </c>
      <c r="Z170" s="146" t="s">
        <v>243</v>
      </c>
      <c r="AA170" s="140">
        <v>22</v>
      </c>
      <c r="AB170" s="146" t="s">
        <v>74</v>
      </c>
    </row>
    <row r="171" spans="24:28" x14ac:dyDescent="0.2">
      <c r="X171">
        <v>162</v>
      </c>
      <c r="Y171" s="140">
        <v>815</v>
      </c>
      <c r="Z171" s="146" t="s">
        <v>244</v>
      </c>
      <c r="AA171" s="140">
        <v>24</v>
      </c>
      <c r="AB171" s="146" t="s">
        <v>104</v>
      </c>
    </row>
    <row r="172" spans="24:28" x14ac:dyDescent="0.2">
      <c r="X172">
        <v>163</v>
      </c>
      <c r="Y172" s="140">
        <v>1001</v>
      </c>
      <c r="Z172" s="146" t="s">
        <v>245</v>
      </c>
      <c r="AA172" s="140">
        <v>26</v>
      </c>
      <c r="AB172" s="146" t="s">
        <v>90</v>
      </c>
    </row>
    <row r="173" spans="24:28" x14ac:dyDescent="0.2">
      <c r="X173">
        <v>164</v>
      </c>
      <c r="Y173" s="140">
        <v>1503</v>
      </c>
      <c r="Z173" s="146" t="s">
        <v>246</v>
      </c>
      <c r="AA173" s="140">
        <v>30</v>
      </c>
      <c r="AB173" s="146" t="s">
        <v>92</v>
      </c>
    </row>
    <row r="174" spans="24:28" x14ac:dyDescent="0.2">
      <c r="X174">
        <v>165</v>
      </c>
      <c r="Y174" s="140">
        <v>622</v>
      </c>
      <c r="Z174" s="146" t="s">
        <v>247</v>
      </c>
      <c r="AA174" s="140">
        <v>22</v>
      </c>
      <c r="AB174" s="146" t="s">
        <v>130</v>
      </c>
    </row>
    <row r="175" spans="24:28" x14ac:dyDescent="0.2">
      <c r="X175">
        <v>166</v>
      </c>
      <c r="Y175" s="140">
        <v>2017</v>
      </c>
      <c r="Z175" s="146" t="s">
        <v>248</v>
      </c>
      <c r="AA175" s="140">
        <v>29</v>
      </c>
      <c r="AB175" s="146" t="s">
        <v>72</v>
      </c>
    </row>
    <row r="176" spans="24:28" x14ac:dyDescent="0.2">
      <c r="X176">
        <v>167</v>
      </c>
      <c r="Y176" s="140">
        <v>1238</v>
      </c>
      <c r="Z176" s="146" t="s">
        <v>249</v>
      </c>
      <c r="AA176" s="140">
        <v>24</v>
      </c>
      <c r="AB176" s="146" t="s">
        <v>88</v>
      </c>
    </row>
    <row r="177" spans="24:28" x14ac:dyDescent="0.2">
      <c r="X177">
        <v>168</v>
      </c>
      <c r="Y177" s="140">
        <v>1037</v>
      </c>
      <c r="Z177" s="146" t="s">
        <v>250</v>
      </c>
      <c r="AA177" s="140">
        <v>24</v>
      </c>
      <c r="AB177" s="146" t="s">
        <v>90</v>
      </c>
    </row>
    <row r="178" spans="24:28" x14ac:dyDescent="0.2">
      <c r="X178">
        <v>169</v>
      </c>
      <c r="Y178" s="140">
        <v>1224</v>
      </c>
      <c r="Z178" s="146" t="s">
        <v>251</v>
      </c>
      <c r="AA178" s="140">
        <v>26</v>
      </c>
      <c r="AB178" s="146" t="s">
        <v>88</v>
      </c>
    </row>
    <row r="179" spans="24:28" x14ac:dyDescent="0.2">
      <c r="X179">
        <v>170</v>
      </c>
      <c r="Y179" s="140">
        <v>829</v>
      </c>
      <c r="Z179" s="146" t="s">
        <v>252</v>
      </c>
      <c r="AA179" s="140">
        <v>22</v>
      </c>
      <c r="AB179" s="146" t="s">
        <v>104</v>
      </c>
    </row>
    <row r="180" spans="24:28" x14ac:dyDescent="0.2">
      <c r="X180">
        <v>171</v>
      </c>
      <c r="Y180" s="140">
        <v>1144</v>
      </c>
      <c r="Z180" s="146" t="s">
        <v>253</v>
      </c>
      <c r="AA180" s="140">
        <v>29</v>
      </c>
      <c r="AB180" s="146" t="s">
        <v>114</v>
      </c>
    </row>
    <row r="181" spans="24:28" x14ac:dyDescent="0.2">
      <c r="X181">
        <v>172</v>
      </c>
      <c r="Y181" s="140">
        <v>1911</v>
      </c>
      <c r="Z181" s="146" t="s">
        <v>254</v>
      </c>
      <c r="AA181" s="140">
        <v>28</v>
      </c>
      <c r="AB181" s="146" t="s">
        <v>102</v>
      </c>
    </row>
    <row r="182" spans="24:28" x14ac:dyDescent="0.2">
      <c r="X182">
        <v>173</v>
      </c>
      <c r="Y182" s="140">
        <v>1943</v>
      </c>
      <c r="Z182" s="146" t="s">
        <v>255</v>
      </c>
      <c r="AA182" s="140">
        <v>28</v>
      </c>
      <c r="AB182" s="146" t="s">
        <v>102</v>
      </c>
    </row>
    <row r="183" spans="24:28" x14ac:dyDescent="0.2">
      <c r="X183">
        <v>174</v>
      </c>
      <c r="Y183" s="140">
        <v>1940</v>
      </c>
      <c r="Z183" s="146" t="s">
        <v>256</v>
      </c>
      <c r="AA183" s="140">
        <v>25</v>
      </c>
      <c r="AB183" s="146" t="s">
        <v>102</v>
      </c>
    </row>
    <row r="184" spans="24:28" x14ac:dyDescent="0.2">
      <c r="X184">
        <v>175</v>
      </c>
      <c r="Y184" s="140">
        <v>728</v>
      </c>
      <c r="Z184" s="146" t="s">
        <v>257</v>
      </c>
      <c r="AA184" s="140">
        <v>22</v>
      </c>
      <c r="AB184" s="146" t="s">
        <v>76</v>
      </c>
    </row>
    <row r="185" spans="24:28" x14ac:dyDescent="0.2">
      <c r="X185">
        <v>176</v>
      </c>
      <c r="Y185" s="140">
        <v>709</v>
      </c>
      <c r="Z185" s="146" t="s">
        <v>258</v>
      </c>
      <c r="AA185" s="140">
        <v>25</v>
      </c>
      <c r="AB185" s="146" t="s">
        <v>76</v>
      </c>
    </row>
    <row r="186" spans="24:28" x14ac:dyDescent="0.2">
      <c r="X186">
        <v>177</v>
      </c>
      <c r="Y186" s="140">
        <v>1920</v>
      </c>
      <c r="Z186" s="146" t="s">
        <v>259</v>
      </c>
      <c r="AA186" s="140">
        <v>26</v>
      </c>
      <c r="AB186" s="146" t="s">
        <v>102</v>
      </c>
    </row>
    <row r="187" spans="24:28" x14ac:dyDescent="0.2">
      <c r="X187">
        <v>178</v>
      </c>
      <c r="Y187" s="140">
        <v>2022</v>
      </c>
      <c r="Z187" s="146" t="s">
        <v>260</v>
      </c>
      <c r="AA187" s="140">
        <v>29</v>
      </c>
      <c r="AB187" s="146" t="s">
        <v>72</v>
      </c>
    </row>
    <row r="188" spans="24:28" x14ac:dyDescent="0.2">
      <c r="X188">
        <v>179</v>
      </c>
      <c r="Y188" s="140">
        <v>1419</v>
      </c>
      <c r="Z188" s="146" t="s">
        <v>261</v>
      </c>
      <c r="AA188" s="140">
        <v>24</v>
      </c>
      <c r="AB188" s="146" t="s">
        <v>86</v>
      </c>
    </row>
    <row r="189" spans="24:28" x14ac:dyDescent="0.2">
      <c r="X189">
        <v>180</v>
      </c>
      <c r="Y189" s="140">
        <v>1822</v>
      </c>
      <c r="Z189" s="146" t="s">
        <v>262</v>
      </c>
      <c r="AA189" s="140">
        <v>30</v>
      </c>
      <c r="AB189" s="146" t="s">
        <v>70</v>
      </c>
    </row>
    <row r="190" spans="24:28" x14ac:dyDescent="0.2">
      <c r="X190">
        <v>181</v>
      </c>
      <c r="Y190" s="140">
        <v>1755</v>
      </c>
      <c r="Z190" s="146" t="s">
        <v>263</v>
      </c>
      <c r="AA190" s="140">
        <v>29</v>
      </c>
      <c r="AB190" s="146" t="s">
        <v>158</v>
      </c>
    </row>
    <row r="191" spans="24:28" x14ac:dyDescent="0.2">
      <c r="X191">
        <v>182</v>
      </c>
      <c r="Y191" s="140">
        <v>1718</v>
      </c>
      <c r="Z191" s="146" t="s">
        <v>264</v>
      </c>
      <c r="AA191" s="140">
        <v>26</v>
      </c>
      <c r="AB191" s="146" t="s">
        <v>158</v>
      </c>
    </row>
    <row r="192" spans="24:28" x14ac:dyDescent="0.2">
      <c r="X192">
        <v>183</v>
      </c>
      <c r="Y192" s="140">
        <v>1931</v>
      </c>
      <c r="Z192" s="146" t="s">
        <v>265</v>
      </c>
      <c r="AA192" s="140">
        <v>27</v>
      </c>
      <c r="AB192" s="146" t="s">
        <v>102</v>
      </c>
    </row>
    <row r="193" spans="24:28" x14ac:dyDescent="0.2">
      <c r="X193">
        <v>184</v>
      </c>
      <c r="Y193" s="140">
        <v>512</v>
      </c>
      <c r="Z193" s="146" t="s">
        <v>266</v>
      </c>
      <c r="AA193" s="140">
        <v>25</v>
      </c>
      <c r="AB193" s="146" t="s">
        <v>128</v>
      </c>
    </row>
    <row r="194" spans="24:28" x14ac:dyDescent="0.2">
      <c r="X194">
        <v>185</v>
      </c>
      <c r="Y194" s="140">
        <v>1719</v>
      </c>
      <c r="Z194" s="146" t="s">
        <v>267</v>
      </c>
      <c r="AA194" s="140">
        <v>26</v>
      </c>
      <c r="AB194" s="146" t="s">
        <v>158</v>
      </c>
    </row>
    <row r="195" spans="24:28" x14ac:dyDescent="0.2">
      <c r="X195">
        <v>186</v>
      </c>
      <c r="Y195" s="140">
        <v>626</v>
      </c>
      <c r="Z195" s="146" t="s">
        <v>268</v>
      </c>
      <c r="AA195" s="140">
        <v>22</v>
      </c>
      <c r="AB195" s="146" t="s">
        <v>130</v>
      </c>
    </row>
    <row r="196" spans="24:28" x14ac:dyDescent="0.2">
      <c r="X196">
        <v>187</v>
      </c>
      <c r="Y196" s="140">
        <v>1738</v>
      </c>
      <c r="Z196" s="146" t="s">
        <v>269</v>
      </c>
      <c r="AA196" s="140">
        <v>24</v>
      </c>
      <c r="AB196" s="146" t="s">
        <v>158</v>
      </c>
    </row>
    <row r="197" spans="24:28" x14ac:dyDescent="0.2">
      <c r="X197">
        <v>188</v>
      </c>
      <c r="Y197" s="140">
        <v>501</v>
      </c>
      <c r="Z197" s="146" t="s">
        <v>270</v>
      </c>
      <c r="AA197" s="140">
        <v>22</v>
      </c>
      <c r="AB197" s="146" t="s">
        <v>128</v>
      </c>
    </row>
    <row r="198" spans="24:28" x14ac:dyDescent="0.2">
      <c r="X198">
        <v>189</v>
      </c>
      <c r="Y198" s="140">
        <v>926</v>
      </c>
      <c r="Z198" s="146" t="s">
        <v>271</v>
      </c>
      <c r="AA198" s="140">
        <v>26</v>
      </c>
      <c r="AB198" s="146" t="s">
        <v>81</v>
      </c>
    </row>
    <row r="199" spans="24:28" x14ac:dyDescent="0.2">
      <c r="X199">
        <v>190</v>
      </c>
      <c r="Y199" s="140">
        <v>1029</v>
      </c>
      <c r="Z199" s="146" t="s">
        <v>272</v>
      </c>
      <c r="AA199" s="140">
        <v>28</v>
      </c>
      <c r="AB199" s="146" t="s">
        <v>90</v>
      </c>
    </row>
    <row r="200" spans="24:28" x14ac:dyDescent="0.2">
      <c r="X200">
        <v>191</v>
      </c>
      <c r="Y200" s="140">
        <v>1263</v>
      </c>
      <c r="Z200" s="146" t="s">
        <v>273</v>
      </c>
      <c r="AA200" s="140">
        <v>26</v>
      </c>
      <c r="AB200" s="146" t="s">
        <v>88</v>
      </c>
    </row>
    <row r="201" spans="24:28" x14ac:dyDescent="0.2">
      <c r="X201">
        <v>192</v>
      </c>
      <c r="Y201" s="140">
        <v>514</v>
      </c>
      <c r="Z201" s="146" t="s">
        <v>274</v>
      </c>
      <c r="AA201" s="140">
        <v>24</v>
      </c>
      <c r="AB201" s="146" t="s">
        <v>128</v>
      </c>
    </row>
    <row r="202" spans="24:28" x14ac:dyDescent="0.2">
      <c r="X202">
        <v>193</v>
      </c>
      <c r="Y202" s="140">
        <v>2014</v>
      </c>
      <c r="Z202" s="146" t="s">
        <v>275</v>
      </c>
      <c r="AA202" s="140">
        <v>29</v>
      </c>
      <c r="AB202" s="146" t="s">
        <v>72</v>
      </c>
    </row>
    <row r="203" spans="24:28" x14ac:dyDescent="0.2">
      <c r="X203">
        <v>194</v>
      </c>
      <c r="Y203" s="140">
        <v>1112</v>
      </c>
      <c r="Z203" s="146" t="s">
        <v>276</v>
      </c>
      <c r="AA203" s="140">
        <v>26</v>
      </c>
      <c r="AB203" s="146" t="s">
        <v>114</v>
      </c>
    </row>
    <row r="204" spans="24:28" x14ac:dyDescent="0.2">
      <c r="X204">
        <v>195</v>
      </c>
      <c r="Y204" s="140">
        <v>533</v>
      </c>
      <c r="Z204" s="146" t="s">
        <v>277</v>
      </c>
      <c r="AA204" s="140">
        <v>22</v>
      </c>
      <c r="AB204" s="146" t="s">
        <v>128</v>
      </c>
    </row>
    <row r="205" spans="24:28" x14ac:dyDescent="0.2">
      <c r="X205">
        <v>196</v>
      </c>
      <c r="Y205" s="140">
        <v>1834</v>
      </c>
      <c r="Z205" s="146" t="s">
        <v>278</v>
      </c>
      <c r="AA205" s="140">
        <v>30</v>
      </c>
      <c r="AB205" s="146" t="s">
        <v>70</v>
      </c>
    </row>
    <row r="206" spans="24:28" x14ac:dyDescent="0.2">
      <c r="X206">
        <v>197</v>
      </c>
      <c r="Y206" s="140">
        <v>1426</v>
      </c>
      <c r="Z206" s="146" t="s">
        <v>279</v>
      </c>
      <c r="AA206" s="140">
        <v>24</v>
      </c>
      <c r="AB206" s="146" t="s">
        <v>86</v>
      </c>
    </row>
    <row r="207" spans="24:28" x14ac:dyDescent="0.2">
      <c r="X207">
        <v>198</v>
      </c>
      <c r="Y207" s="140">
        <v>1032</v>
      </c>
      <c r="Z207" s="146" t="s">
        <v>280</v>
      </c>
      <c r="AA207" s="140">
        <v>26</v>
      </c>
      <c r="AB207" s="146" t="s">
        <v>90</v>
      </c>
    </row>
    <row r="208" spans="24:28" x14ac:dyDescent="0.2">
      <c r="X208">
        <v>199</v>
      </c>
      <c r="Y208" s="140">
        <v>1938</v>
      </c>
      <c r="Z208" s="146" t="s">
        <v>281</v>
      </c>
      <c r="AA208" s="140">
        <v>26</v>
      </c>
      <c r="AB208" s="146" t="s">
        <v>102</v>
      </c>
    </row>
    <row r="209" spans="24:28" x14ac:dyDescent="0.2">
      <c r="X209">
        <v>200</v>
      </c>
      <c r="Y209" s="140">
        <v>1422</v>
      </c>
      <c r="Z209" s="146" t="s">
        <v>282</v>
      </c>
      <c r="AA209" s="140">
        <v>26</v>
      </c>
      <c r="AB209" s="146" t="s">
        <v>86</v>
      </c>
    </row>
    <row r="210" spans="24:28" x14ac:dyDescent="0.2">
      <c r="X210">
        <v>201</v>
      </c>
      <c r="Y210" s="140">
        <v>1851</v>
      </c>
      <c r="Z210" s="146" t="s">
        <v>283</v>
      </c>
      <c r="AA210" s="140">
        <v>29</v>
      </c>
      <c r="AB210" s="146" t="s">
        <v>70</v>
      </c>
    </row>
    <row r="211" spans="24:28" x14ac:dyDescent="0.2">
      <c r="X211">
        <v>202</v>
      </c>
      <c r="Y211" s="140">
        <v>230</v>
      </c>
      <c r="Z211" s="146" t="s">
        <v>284</v>
      </c>
      <c r="AA211" s="140">
        <v>22</v>
      </c>
      <c r="AB211" s="146" t="s">
        <v>83</v>
      </c>
    </row>
    <row r="212" spans="24:28" x14ac:dyDescent="0.2">
      <c r="X212">
        <v>203</v>
      </c>
      <c r="Y212" s="140">
        <v>415</v>
      </c>
      <c r="Z212" s="146" t="s">
        <v>285</v>
      </c>
      <c r="AA212" s="140">
        <v>22</v>
      </c>
      <c r="AB212" s="146" t="s">
        <v>74</v>
      </c>
    </row>
    <row r="213" spans="24:28" x14ac:dyDescent="0.2">
      <c r="X213">
        <v>204</v>
      </c>
      <c r="Y213" s="140">
        <v>1663</v>
      </c>
      <c r="Z213" s="146" t="s">
        <v>286</v>
      </c>
      <c r="AA213" s="140">
        <v>26</v>
      </c>
      <c r="AB213" s="146" t="s">
        <v>68</v>
      </c>
    </row>
    <row r="214" spans="24:28" x14ac:dyDescent="0.2">
      <c r="X214">
        <v>205</v>
      </c>
      <c r="Y214" s="140">
        <v>1002</v>
      </c>
      <c r="Z214" s="146" t="s">
        <v>287</v>
      </c>
      <c r="AA214" s="140">
        <v>28</v>
      </c>
      <c r="AB214" s="146" t="s">
        <v>90</v>
      </c>
    </row>
    <row r="215" spans="24:28" x14ac:dyDescent="0.2">
      <c r="X215">
        <v>206</v>
      </c>
      <c r="Y215" s="140">
        <v>119</v>
      </c>
      <c r="Z215" s="146" t="s">
        <v>288</v>
      </c>
      <c r="AA215" s="140">
        <v>22</v>
      </c>
      <c r="AB215" s="146" t="s">
        <v>79</v>
      </c>
    </row>
    <row r="216" spans="24:28" x14ac:dyDescent="0.2">
      <c r="X216">
        <v>207</v>
      </c>
      <c r="Y216" s="140">
        <v>1021</v>
      </c>
      <c r="Z216" s="146" t="s">
        <v>289</v>
      </c>
      <c r="AA216" s="140">
        <v>24</v>
      </c>
      <c r="AB216" s="146" t="s">
        <v>90</v>
      </c>
    </row>
    <row r="217" spans="24:28" x14ac:dyDescent="0.2">
      <c r="X217">
        <v>208</v>
      </c>
      <c r="Y217" s="140">
        <v>1266</v>
      </c>
      <c r="Z217" s="146" t="s">
        <v>290</v>
      </c>
      <c r="AA217" s="140">
        <v>26</v>
      </c>
      <c r="AB217" s="146" t="s">
        <v>88</v>
      </c>
    </row>
    <row r="218" spans="24:28" x14ac:dyDescent="0.2">
      <c r="X218">
        <v>209</v>
      </c>
      <c r="Y218" s="140">
        <v>1256</v>
      </c>
      <c r="Z218" s="146" t="s">
        <v>291</v>
      </c>
      <c r="AA218" s="140">
        <v>26</v>
      </c>
      <c r="AB218" s="146" t="s">
        <v>88</v>
      </c>
    </row>
    <row r="219" spans="24:28" x14ac:dyDescent="0.2">
      <c r="X219">
        <v>210</v>
      </c>
      <c r="Y219" s="140">
        <v>1636</v>
      </c>
      <c r="Z219" s="146" t="s">
        <v>292</v>
      </c>
      <c r="AA219" s="140">
        <v>25</v>
      </c>
      <c r="AB219" s="146" t="s">
        <v>68</v>
      </c>
    </row>
    <row r="220" spans="24:28" x14ac:dyDescent="0.2">
      <c r="X220">
        <v>211</v>
      </c>
      <c r="Y220" s="140">
        <v>1653</v>
      </c>
      <c r="Z220" s="146" t="s">
        <v>293</v>
      </c>
      <c r="AA220" s="140">
        <v>25</v>
      </c>
      <c r="AB220" s="146" t="s">
        <v>68</v>
      </c>
    </row>
    <row r="221" spans="24:28" x14ac:dyDescent="0.2">
      <c r="X221">
        <v>212</v>
      </c>
      <c r="Y221" s="140">
        <v>1837</v>
      </c>
      <c r="Z221" s="146" t="s">
        <v>294</v>
      </c>
      <c r="AA221" s="140">
        <v>29</v>
      </c>
      <c r="AB221" s="146" t="s">
        <v>70</v>
      </c>
    </row>
    <row r="222" spans="24:28" x14ac:dyDescent="0.2">
      <c r="X222">
        <v>213</v>
      </c>
      <c r="Y222" s="140">
        <v>1711</v>
      </c>
      <c r="Z222" s="146" t="s">
        <v>295</v>
      </c>
      <c r="AA222" s="140">
        <v>25</v>
      </c>
      <c r="AB222" s="146" t="s">
        <v>158</v>
      </c>
    </row>
    <row r="223" spans="24:28" x14ac:dyDescent="0.2">
      <c r="X223">
        <v>214</v>
      </c>
      <c r="Y223" s="140">
        <v>1545</v>
      </c>
      <c r="Z223" s="146" t="s">
        <v>296</v>
      </c>
      <c r="AA223" s="140">
        <v>30</v>
      </c>
      <c r="AB223" s="146" t="s">
        <v>92</v>
      </c>
    </row>
    <row r="224" spans="24:28" x14ac:dyDescent="0.2">
      <c r="X224">
        <v>215</v>
      </c>
      <c r="Y224" s="140">
        <v>1648</v>
      </c>
      <c r="Z224" s="146" t="s">
        <v>297</v>
      </c>
      <c r="AA224" s="140">
        <v>25</v>
      </c>
      <c r="AB224" s="146" t="s">
        <v>68</v>
      </c>
    </row>
    <row r="225" spans="24:28" x14ac:dyDescent="0.2">
      <c r="X225">
        <v>216</v>
      </c>
      <c r="Y225" s="140">
        <v>1252</v>
      </c>
      <c r="Z225" s="146" t="s">
        <v>298</v>
      </c>
      <c r="AA225" s="140">
        <v>24</v>
      </c>
      <c r="AB225" s="146" t="s">
        <v>88</v>
      </c>
    </row>
    <row r="226" spans="24:28" x14ac:dyDescent="0.2">
      <c r="X226">
        <v>217</v>
      </c>
      <c r="Y226" s="140">
        <v>623</v>
      </c>
      <c r="Z226" s="146" t="s">
        <v>299</v>
      </c>
      <c r="AA226" s="140">
        <v>22</v>
      </c>
      <c r="AB226" s="146" t="s">
        <v>130</v>
      </c>
    </row>
    <row r="227" spans="24:28" x14ac:dyDescent="0.2">
      <c r="X227">
        <v>218</v>
      </c>
      <c r="Y227" s="140">
        <v>1502</v>
      </c>
      <c r="Z227" s="146" t="s">
        <v>300</v>
      </c>
      <c r="AA227" s="140">
        <v>29</v>
      </c>
      <c r="AB227" s="146" t="s">
        <v>92</v>
      </c>
    </row>
    <row r="228" spans="24:28" x14ac:dyDescent="0.2">
      <c r="X228">
        <v>219</v>
      </c>
      <c r="Y228" s="140">
        <v>1874</v>
      </c>
      <c r="Z228" s="146" t="s">
        <v>301</v>
      </c>
      <c r="AA228" s="140">
        <v>31</v>
      </c>
      <c r="AB228" s="146" t="s">
        <v>70</v>
      </c>
    </row>
    <row r="229" spans="24:28" x14ac:dyDescent="0.2">
      <c r="X229">
        <v>220</v>
      </c>
      <c r="Y229" s="140">
        <v>104</v>
      </c>
      <c r="Z229" s="146" t="s">
        <v>302</v>
      </c>
      <c r="AA229" s="140">
        <v>24</v>
      </c>
      <c r="AB229" s="146" t="s">
        <v>79</v>
      </c>
    </row>
    <row r="230" spans="24:28" x14ac:dyDescent="0.2">
      <c r="X230">
        <v>221</v>
      </c>
      <c r="Y230" s="140">
        <v>1723</v>
      </c>
      <c r="Z230" s="146" t="s">
        <v>303</v>
      </c>
      <c r="AA230" s="140">
        <v>26</v>
      </c>
      <c r="AB230" s="146" t="s">
        <v>158</v>
      </c>
    </row>
    <row r="231" spans="24:28" x14ac:dyDescent="0.2">
      <c r="X231">
        <v>222</v>
      </c>
      <c r="Y231" s="140">
        <v>1924</v>
      </c>
      <c r="Z231" s="146" t="s">
        <v>304</v>
      </c>
      <c r="AA231" s="140">
        <v>24</v>
      </c>
      <c r="AB231" s="146" t="s">
        <v>102</v>
      </c>
    </row>
    <row r="232" spans="24:28" x14ac:dyDescent="0.2">
      <c r="X232">
        <v>223</v>
      </c>
      <c r="Y232" s="140">
        <v>2018</v>
      </c>
      <c r="Z232" s="146" t="s">
        <v>305</v>
      </c>
      <c r="AA232" s="140">
        <v>30</v>
      </c>
      <c r="AB232" s="146" t="s">
        <v>72</v>
      </c>
    </row>
    <row r="233" spans="24:28" x14ac:dyDescent="0.2">
      <c r="X233">
        <v>224</v>
      </c>
      <c r="Y233" s="140">
        <v>1725</v>
      </c>
      <c r="Z233" s="146" t="s">
        <v>306</v>
      </c>
      <c r="AA233" s="140">
        <v>26</v>
      </c>
      <c r="AB233" s="146" t="s">
        <v>158</v>
      </c>
    </row>
    <row r="234" spans="24:28" x14ac:dyDescent="0.2">
      <c r="X234">
        <v>225</v>
      </c>
      <c r="Y234" s="140">
        <v>1703</v>
      </c>
      <c r="Z234" s="146" t="s">
        <v>307</v>
      </c>
      <c r="AA234" s="140">
        <v>26</v>
      </c>
      <c r="AB234" s="146" t="s">
        <v>158</v>
      </c>
    </row>
    <row r="235" spans="24:28" x14ac:dyDescent="0.2">
      <c r="X235">
        <v>226</v>
      </c>
      <c r="Y235" s="140">
        <v>1740</v>
      </c>
      <c r="Z235" s="146" t="s">
        <v>308</v>
      </c>
      <c r="AA235" s="140">
        <v>26</v>
      </c>
      <c r="AB235" s="146" t="s">
        <v>158</v>
      </c>
    </row>
    <row r="236" spans="24:28" x14ac:dyDescent="0.2">
      <c r="X236">
        <v>227</v>
      </c>
      <c r="Y236" s="140">
        <v>238</v>
      </c>
      <c r="Z236" s="146" t="s">
        <v>309</v>
      </c>
      <c r="AA236" s="140">
        <v>22</v>
      </c>
      <c r="AB236" s="146" t="s">
        <v>83</v>
      </c>
    </row>
    <row r="237" spans="24:28" x14ac:dyDescent="0.2">
      <c r="X237">
        <v>228</v>
      </c>
      <c r="Y237" s="140">
        <v>1805</v>
      </c>
      <c r="Z237" s="146" t="s">
        <v>310</v>
      </c>
      <c r="AA237" s="140">
        <v>28</v>
      </c>
      <c r="AB237" s="146" t="s">
        <v>70</v>
      </c>
    </row>
    <row r="238" spans="24:28" x14ac:dyDescent="0.2">
      <c r="X238">
        <v>229</v>
      </c>
      <c r="Y238" s="140">
        <v>1433</v>
      </c>
      <c r="Z238" s="146" t="s">
        <v>311</v>
      </c>
      <c r="AA238" s="140">
        <v>26</v>
      </c>
      <c r="AB238" s="146" t="s">
        <v>86</v>
      </c>
    </row>
    <row r="239" spans="24:28" x14ac:dyDescent="0.2">
      <c r="X239">
        <v>230</v>
      </c>
      <c r="Y239" s="140">
        <v>625</v>
      </c>
      <c r="Z239" s="146" t="s">
        <v>312</v>
      </c>
      <c r="AA239" s="140">
        <v>22</v>
      </c>
      <c r="AB239" s="146" t="s">
        <v>130</v>
      </c>
    </row>
    <row r="240" spans="24:28" x14ac:dyDescent="0.2">
      <c r="X240">
        <v>231</v>
      </c>
      <c r="Y240" s="140">
        <v>236</v>
      </c>
      <c r="Z240" s="146" t="s">
        <v>313</v>
      </c>
      <c r="AA240" s="140">
        <v>22</v>
      </c>
      <c r="AB240" s="146" t="s">
        <v>83</v>
      </c>
    </row>
    <row r="241" spans="24:28" x14ac:dyDescent="0.2">
      <c r="X241">
        <v>232</v>
      </c>
      <c r="Y241" s="140">
        <v>616</v>
      </c>
      <c r="Z241" s="146" t="s">
        <v>313</v>
      </c>
      <c r="AA241" s="140">
        <v>22</v>
      </c>
      <c r="AB241" s="146" t="s">
        <v>130</v>
      </c>
    </row>
    <row r="242" spans="24:28" x14ac:dyDescent="0.2">
      <c r="X242">
        <v>233</v>
      </c>
      <c r="Y242" s="140">
        <v>1828</v>
      </c>
      <c r="Z242" s="146" t="s">
        <v>314</v>
      </c>
      <c r="AA242" s="140">
        <v>30</v>
      </c>
      <c r="AB242" s="146" t="s">
        <v>70</v>
      </c>
    </row>
    <row r="243" spans="24:28" x14ac:dyDescent="0.2">
      <c r="X243">
        <v>234</v>
      </c>
      <c r="Y243" s="140">
        <v>216</v>
      </c>
      <c r="Z243" s="146" t="s">
        <v>315</v>
      </c>
      <c r="AA243" s="140">
        <v>22</v>
      </c>
      <c r="AB243" s="146" t="s">
        <v>83</v>
      </c>
    </row>
    <row r="244" spans="24:28" x14ac:dyDescent="0.2">
      <c r="X244">
        <v>235</v>
      </c>
      <c r="Y244" s="140">
        <v>2027</v>
      </c>
      <c r="Z244" s="146" t="s">
        <v>316</v>
      </c>
      <c r="AA244" s="140">
        <v>27</v>
      </c>
      <c r="AB244" s="146" t="s">
        <v>72</v>
      </c>
    </row>
    <row r="245" spans="24:28" x14ac:dyDescent="0.2">
      <c r="X245">
        <v>236</v>
      </c>
      <c r="Y245" s="140">
        <v>1543</v>
      </c>
      <c r="Z245" s="146" t="s">
        <v>317</v>
      </c>
      <c r="AA245" s="140">
        <v>26</v>
      </c>
      <c r="AB245" s="146" t="s">
        <v>92</v>
      </c>
    </row>
    <row r="246" spans="24:28" x14ac:dyDescent="0.2">
      <c r="X246">
        <v>237</v>
      </c>
      <c r="Y246" s="140">
        <v>830</v>
      </c>
      <c r="Z246" s="146" t="s">
        <v>318</v>
      </c>
      <c r="AA246" s="140">
        <v>22</v>
      </c>
      <c r="AB246" s="146" t="s">
        <v>104</v>
      </c>
    </row>
    <row r="247" spans="24:28" x14ac:dyDescent="0.2">
      <c r="X247">
        <v>238</v>
      </c>
      <c r="Y247" s="140">
        <v>233</v>
      </c>
      <c r="Z247" s="146" t="s">
        <v>319</v>
      </c>
      <c r="AA247" s="140">
        <v>22</v>
      </c>
      <c r="AB247" s="146" t="s">
        <v>83</v>
      </c>
    </row>
    <row r="248" spans="24:28" x14ac:dyDescent="0.2">
      <c r="X248">
        <v>239</v>
      </c>
      <c r="Y248" s="140">
        <v>819</v>
      </c>
      <c r="Z248" s="146" t="s">
        <v>320</v>
      </c>
      <c r="AA248" s="140">
        <v>22</v>
      </c>
      <c r="AB248" s="146" t="s">
        <v>104</v>
      </c>
    </row>
    <row r="249" spans="24:28" x14ac:dyDescent="0.2">
      <c r="X249">
        <v>240</v>
      </c>
      <c r="Y249" s="140">
        <v>542</v>
      </c>
      <c r="Z249" s="146" t="s">
        <v>321</v>
      </c>
      <c r="AA249" s="140">
        <v>22</v>
      </c>
      <c r="AB249" s="146" t="s">
        <v>128</v>
      </c>
    </row>
    <row r="250" spans="24:28" x14ac:dyDescent="0.2">
      <c r="X250">
        <v>241</v>
      </c>
      <c r="Y250" s="140">
        <v>1524</v>
      </c>
      <c r="Z250" s="146" t="s">
        <v>322</v>
      </c>
      <c r="AA250" s="140">
        <v>26</v>
      </c>
      <c r="AB250" s="146" t="s">
        <v>92</v>
      </c>
    </row>
    <row r="251" spans="24:28" x14ac:dyDescent="0.2">
      <c r="X251">
        <v>242</v>
      </c>
      <c r="Y251" s="140">
        <v>516</v>
      </c>
      <c r="Z251" s="146" t="s">
        <v>323</v>
      </c>
      <c r="AA251" s="140">
        <v>22</v>
      </c>
      <c r="AB251" s="146" t="s">
        <v>128</v>
      </c>
    </row>
    <row r="252" spans="24:28" x14ac:dyDescent="0.2">
      <c r="X252">
        <v>243</v>
      </c>
      <c r="Y252" s="140">
        <v>2019</v>
      </c>
      <c r="Z252" s="146" t="s">
        <v>324</v>
      </c>
      <c r="AA252" s="140">
        <v>30</v>
      </c>
      <c r="AB252" s="146" t="s">
        <v>72</v>
      </c>
    </row>
    <row r="253" spans="24:28" x14ac:dyDescent="0.2">
      <c r="X253">
        <v>244</v>
      </c>
      <c r="Y253" s="140">
        <v>418</v>
      </c>
      <c r="Z253" s="146" t="s">
        <v>325</v>
      </c>
      <c r="AA253" s="140">
        <v>22</v>
      </c>
      <c r="AB253" s="146" t="s">
        <v>74</v>
      </c>
    </row>
    <row r="254" spans="24:28" x14ac:dyDescent="0.2">
      <c r="X254">
        <v>245</v>
      </c>
      <c r="Y254" s="140">
        <v>538</v>
      </c>
      <c r="Z254" s="146" t="s">
        <v>326</v>
      </c>
      <c r="AA254" s="140">
        <v>22</v>
      </c>
      <c r="AB254" s="146" t="s">
        <v>128</v>
      </c>
    </row>
    <row r="255" spans="24:28" x14ac:dyDescent="0.2">
      <c r="X255">
        <v>246</v>
      </c>
      <c r="Y255" s="140">
        <v>1942</v>
      </c>
      <c r="Z255" s="146" t="s">
        <v>327</v>
      </c>
      <c r="AA255" s="140">
        <v>27</v>
      </c>
      <c r="AB255" s="146" t="s">
        <v>102</v>
      </c>
    </row>
    <row r="256" spans="24:28" x14ac:dyDescent="0.2">
      <c r="X256">
        <v>247</v>
      </c>
      <c r="Y256" s="140">
        <v>633</v>
      </c>
      <c r="Z256" s="146" t="s">
        <v>328</v>
      </c>
      <c r="AA256" s="140">
        <v>24</v>
      </c>
      <c r="AB256" s="146" t="s">
        <v>130</v>
      </c>
    </row>
    <row r="257" spans="24:28" x14ac:dyDescent="0.2">
      <c r="X257">
        <v>248</v>
      </c>
      <c r="Y257" s="140">
        <v>807</v>
      </c>
      <c r="Z257" s="146" t="s">
        <v>329</v>
      </c>
      <c r="AA257" s="140">
        <v>22</v>
      </c>
      <c r="AB257" s="146" t="s">
        <v>104</v>
      </c>
    </row>
    <row r="258" spans="24:28" x14ac:dyDescent="0.2">
      <c r="X258">
        <v>249</v>
      </c>
      <c r="Y258" s="140">
        <v>1751</v>
      </c>
      <c r="Z258" s="146" t="s">
        <v>330</v>
      </c>
      <c r="AA258" s="140">
        <v>29</v>
      </c>
      <c r="AB258" s="146" t="s">
        <v>158</v>
      </c>
    </row>
    <row r="259" spans="24:28" x14ac:dyDescent="0.2">
      <c r="X259">
        <v>250</v>
      </c>
      <c r="Y259" s="140">
        <v>722</v>
      </c>
      <c r="Z259" s="146" t="s">
        <v>331</v>
      </c>
      <c r="AA259" s="140">
        <v>24</v>
      </c>
      <c r="AB259" s="146" t="s">
        <v>76</v>
      </c>
    </row>
    <row r="260" spans="24:28" x14ac:dyDescent="0.2">
      <c r="X260">
        <v>251</v>
      </c>
      <c r="Y260" s="140">
        <v>1228</v>
      </c>
      <c r="Z260" s="146" t="s">
        <v>332</v>
      </c>
      <c r="AA260" s="140">
        <v>26</v>
      </c>
      <c r="AB260" s="146" t="s">
        <v>88</v>
      </c>
    </row>
    <row r="261" spans="24:28" x14ac:dyDescent="0.2">
      <c r="X261">
        <v>252</v>
      </c>
      <c r="Y261" s="140">
        <v>1634</v>
      </c>
      <c r="Z261" s="146" t="s">
        <v>333</v>
      </c>
      <c r="AA261" s="140">
        <v>26</v>
      </c>
      <c r="AB261" s="146" t="s">
        <v>68</v>
      </c>
    </row>
    <row r="262" spans="24:28" x14ac:dyDescent="0.2">
      <c r="X262">
        <v>253</v>
      </c>
      <c r="Y262" s="140">
        <v>217</v>
      </c>
      <c r="Z262" s="146" t="s">
        <v>334</v>
      </c>
      <c r="AA262" s="140">
        <v>22</v>
      </c>
      <c r="AB262" s="146" t="s">
        <v>83</v>
      </c>
    </row>
    <row r="263" spans="24:28" x14ac:dyDescent="0.2">
      <c r="X263">
        <v>254</v>
      </c>
      <c r="Y263" s="140">
        <v>1638</v>
      </c>
      <c r="Z263" s="146" t="s">
        <v>335</v>
      </c>
      <c r="AA263" s="140">
        <v>25</v>
      </c>
      <c r="AB263" s="146" t="s">
        <v>68</v>
      </c>
    </row>
    <row r="264" spans="24:28" x14ac:dyDescent="0.2">
      <c r="X264">
        <v>255</v>
      </c>
      <c r="Y264" s="140">
        <v>441</v>
      </c>
      <c r="Z264" s="146" t="s">
        <v>336</v>
      </c>
      <c r="AA264" s="140">
        <v>24</v>
      </c>
      <c r="AB264" s="146" t="s">
        <v>74</v>
      </c>
    </row>
    <row r="265" spans="24:28" x14ac:dyDescent="0.2">
      <c r="X265">
        <v>256</v>
      </c>
      <c r="Y265" s="140">
        <v>1243</v>
      </c>
      <c r="Z265" s="146" t="s">
        <v>336</v>
      </c>
      <c r="AA265" s="140">
        <v>26</v>
      </c>
      <c r="AB265" s="146" t="s">
        <v>88</v>
      </c>
    </row>
    <row r="266" spans="24:28" x14ac:dyDescent="0.2">
      <c r="X266">
        <v>257</v>
      </c>
      <c r="Y266" s="140">
        <v>1633</v>
      </c>
      <c r="Z266" s="146" t="s">
        <v>337</v>
      </c>
      <c r="AA266" s="140">
        <v>29</v>
      </c>
      <c r="AB266" s="146" t="s">
        <v>68</v>
      </c>
    </row>
    <row r="267" spans="24:28" x14ac:dyDescent="0.2">
      <c r="X267">
        <v>258</v>
      </c>
      <c r="Y267" s="140">
        <v>301</v>
      </c>
      <c r="Z267" s="146" t="s">
        <v>338</v>
      </c>
      <c r="AA267" s="140">
        <v>22</v>
      </c>
      <c r="AB267" s="146" t="s">
        <v>338</v>
      </c>
    </row>
    <row r="268" spans="24:28" x14ac:dyDescent="0.2">
      <c r="X268">
        <v>259</v>
      </c>
      <c r="Y268" s="140">
        <v>1253</v>
      </c>
      <c r="Z268" s="146" t="s">
        <v>339</v>
      </c>
      <c r="AA268" s="140">
        <v>25</v>
      </c>
      <c r="AB268" s="146" t="s">
        <v>88</v>
      </c>
    </row>
    <row r="269" spans="24:28" x14ac:dyDescent="0.2">
      <c r="X269">
        <v>260</v>
      </c>
      <c r="Y269" s="140">
        <v>1744</v>
      </c>
      <c r="Z269" s="146" t="s">
        <v>340</v>
      </c>
      <c r="AA269" s="140">
        <v>26</v>
      </c>
      <c r="AB269" s="146" t="s">
        <v>158</v>
      </c>
    </row>
    <row r="270" spans="24:28" x14ac:dyDescent="0.2">
      <c r="X270">
        <v>261</v>
      </c>
      <c r="Y270" s="140">
        <v>2020</v>
      </c>
      <c r="Z270" s="146" t="s">
        <v>341</v>
      </c>
      <c r="AA270" s="140">
        <v>27</v>
      </c>
      <c r="AB270" s="146" t="s">
        <v>72</v>
      </c>
    </row>
    <row r="271" spans="24:28" x14ac:dyDescent="0.2">
      <c r="X271">
        <v>262</v>
      </c>
      <c r="Y271" s="140">
        <v>805</v>
      </c>
      <c r="Z271" s="146" t="s">
        <v>342</v>
      </c>
      <c r="AA271" s="140">
        <v>23</v>
      </c>
      <c r="AB271" s="146" t="s">
        <v>104</v>
      </c>
    </row>
    <row r="272" spans="24:28" x14ac:dyDescent="0.2">
      <c r="X272">
        <v>263</v>
      </c>
      <c r="Y272" s="140">
        <v>1260</v>
      </c>
      <c r="Z272" s="146" t="s">
        <v>343</v>
      </c>
      <c r="AA272" s="140">
        <v>27</v>
      </c>
      <c r="AB272" s="146" t="s">
        <v>88</v>
      </c>
    </row>
    <row r="273" spans="24:28" x14ac:dyDescent="0.2">
      <c r="X273">
        <v>264</v>
      </c>
      <c r="Y273" s="140">
        <v>128</v>
      </c>
      <c r="Z273" s="146" t="s">
        <v>344</v>
      </c>
      <c r="AA273" s="140">
        <v>22</v>
      </c>
      <c r="AB273" s="146" t="s">
        <v>79</v>
      </c>
    </row>
    <row r="274" spans="24:28" x14ac:dyDescent="0.2">
      <c r="X274">
        <v>265</v>
      </c>
      <c r="Y274" s="140">
        <v>718</v>
      </c>
      <c r="Z274" s="146" t="s">
        <v>345</v>
      </c>
      <c r="AA274" s="140">
        <v>23</v>
      </c>
      <c r="AB274" s="146" t="s">
        <v>76</v>
      </c>
    </row>
    <row r="275" spans="24:28" x14ac:dyDescent="0.2">
      <c r="X275">
        <v>266</v>
      </c>
      <c r="Y275" s="140">
        <v>1833</v>
      </c>
      <c r="Z275" s="146" t="s">
        <v>346</v>
      </c>
      <c r="AA275" s="140">
        <v>26</v>
      </c>
      <c r="AB275" s="146" t="s">
        <v>70</v>
      </c>
    </row>
    <row r="276" spans="24:28" x14ac:dyDescent="0.2">
      <c r="X276">
        <v>267</v>
      </c>
      <c r="Y276" s="140">
        <v>1127</v>
      </c>
      <c r="Z276" s="146" t="s">
        <v>347</v>
      </c>
      <c r="AA276" s="140">
        <v>28</v>
      </c>
      <c r="AB276" s="146" t="s">
        <v>114</v>
      </c>
    </row>
    <row r="277" spans="24:28" x14ac:dyDescent="0.2">
      <c r="X277">
        <v>268</v>
      </c>
      <c r="Y277" s="140">
        <v>1539</v>
      </c>
      <c r="Z277" s="146" t="s">
        <v>348</v>
      </c>
      <c r="AA277" s="140">
        <v>28</v>
      </c>
      <c r="AB277" s="146" t="s">
        <v>92</v>
      </c>
    </row>
    <row r="278" spans="24:28" x14ac:dyDescent="0.2">
      <c r="X278">
        <v>269</v>
      </c>
      <c r="Y278" s="140">
        <v>432</v>
      </c>
      <c r="Z278" s="146" t="s">
        <v>349</v>
      </c>
      <c r="AA278" s="140">
        <v>22</v>
      </c>
      <c r="AB278" s="146" t="s">
        <v>74</v>
      </c>
    </row>
    <row r="279" spans="24:28" x14ac:dyDescent="0.2">
      <c r="X279">
        <v>270</v>
      </c>
      <c r="Y279" s="140">
        <v>1635</v>
      </c>
      <c r="Z279" s="146" t="s">
        <v>350</v>
      </c>
      <c r="AA279" s="140">
        <v>26</v>
      </c>
      <c r="AB279" s="146" t="s">
        <v>68</v>
      </c>
    </row>
    <row r="280" spans="24:28" x14ac:dyDescent="0.2">
      <c r="X280">
        <v>271</v>
      </c>
      <c r="Y280" s="140">
        <v>1142</v>
      </c>
      <c r="Z280" s="146" t="s">
        <v>351</v>
      </c>
      <c r="AA280" s="140">
        <v>28</v>
      </c>
      <c r="AB280" s="146" t="s">
        <v>114</v>
      </c>
    </row>
    <row r="281" spans="24:28" x14ac:dyDescent="0.2">
      <c r="X281">
        <v>272</v>
      </c>
      <c r="Y281" s="140">
        <v>1567</v>
      </c>
      <c r="Z281" s="146" t="s">
        <v>352</v>
      </c>
      <c r="AA281" s="140">
        <v>25</v>
      </c>
      <c r="AB281" s="146" t="s">
        <v>92</v>
      </c>
    </row>
    <row r="282" spans="24:28" x14ac:dyDescent="0.2">
      <c r="X282">
        <v>273</v>
      </c>
      <c r="Y282" s="140">
        <v>520</v>
      </c>
      <c r="Z282" s="146" t="s">
        <v>353</v>
      </c>
      <c r="AA282" s="140">
        <v>22</v>
      </c>
      <c r="AB282" s="146" t="s">
        <v>128</v>
      </c>
    </row>
    <row r="283" spans="24:28" x14ac:dyDescent="0.2">
      <c r="X283">
        <v>274</v>
      </c>
      <c r="Y283" s="140">
        <v>605</v>
      </c>
      <c r="Z283" s="146" t="s">
        <v>354</v>
      </c>
      <c r="AA283" s="140">
        <v>22</v>
      </c>
      <c r="AB283" s="146" t="s">
        <v>130</v>
      </c>
    </row>
    <row r="284" spans="24:28" x14ac:dyDescent="0.2">
      <c r="X284">
        <v>275</v>
      </c>
      <c r="Y284" s="140">
        <v>412</v>
      </c>
      <c r="Z284" s="146" t="s">
        <v>355</v>
      </c>
      <c r="AA284" s="140">
        <v>22</v>
      </c>
      <c r="AB284" s="146" t="s">
        <v>74</v>
      </c>
    </row>
    <row r="285" spans="24:28" x14ac:dyDescent="0.2">
      <c r="X285">
        <v>276</v>
      </c>
      <c r="Y285" s="140">
        <v>1624</v>
      </c>
      <c r="Z285" s="146" t="s">
        <v>356</v>
      </c>
      <c r="AA285" s="140">
        <v>27</v>
      </c>
      <c r="AB285" s="146" t="s">
        <v>68</v>
      </c>
    </row>
    <row r="286" spans="24:28" x14ac:dyDescent="0.2">
      <c r="X286">
        <v>277</v>
      </c>
      <c r="Y286" s="140">
        <v>901</v>
      </c>
      <c r="Z286" s="146" t="s">
        <v>357</v>
      </c>
      <c r="AA286" s="140">
        <v>26</v>
      </c>
      <c r="AB286" s="146" t="s">
        <v>81</v>
      </c>
    </row>
    <row r="287" spans="24:28" x14ac:dyDescent="0.2">
      <c r="X287">
        <v>278</v>
      </c>
      <c r="Y287" s="140">
        <v>1632</v>
      </c>
      <c r="Z287" s="146" t="s">
        <v>358</v>
      </c>
      <c r="AA287" s="140">
        <v>29</v>
      </c>
      <c r="AB287" s="146" t="s">
        <v>68</v>
      </c>
    </row>
    <row r="288" spans="24:28" x14ac:dyDescent="0.2">
      <c r="X288">
        <v>279</v>
      </c>
      <c r="Y288" s="140">
        <v>632</v>
      </c>
      <c r="Z288" s="146" t="s">
        <v>359</v>
      </c>
      <c r="AA288" s="140">
        <v>22</v>
      </c>
      <c r="AB288" s="146" t="s">
        <v>130</v>
      </c>
    </row>
    <row r="289" spans="24:28" x14ac:dyDescent="0.2">
      <c r="X289">
        <v>280</v>
      </c>
      <c r="Y289" s="140">
        <v>136</v>
      </c>
      <c r="Z289" s="146" t="s">
        <v>360</v>
      </c>
      <c r="AA289" s="140">
        <v>24</v>
      </c>
      <c r="AB289" s="146" t="s">
        <v>79</v>
      </c>
    </row>
    <row r="290" spans="24:28" x14ac:dyDescent="0.2">
      <c r="X290">
        <v>281</v>
      </c>
      <c r="Y290" s="140">
        <v>228</v>
      </c>
      <c r="Z290" s="146" t="s">
        <v>361</v>
      </c>
      <c r="AA290" s="140">
        <v>22</v>
      </c>
      <c r="AB290" s="146" t="s">
        <v>83</v>
      </c>
    </row>
    <row r="291" spans="24:28" x14ac:dyDescent="0.2">
      <c r="X291">
        <v>282</v>
      </c>
      <c r="Y291" s="140">
        <v>1836</v>
      </c>
      <c r="Z291" s="146" t="s">
        <v>362</v>
      </c>
      <c r="AA291" s="140">
        <v>29</v>
      </c>
      <c r="AB291" s="146" t="s">
        <v>70</v>
      </c>
    </row>
    <row r="292" spans="24:28" x14ac:dyDescent="0.2">
      <c r="X292">
        <v>283</v>
      </c>
      <c r="Y292" s="140">
        <v>121</v>
      </c>
      <c r="Z292" s="146" t="s">
        <v>363</v>
      </c>
      <c r="AA292" s="140">
        <v>22</v>
      </c>
      <c r="AB292" s="146" t="s">
        <v>79</v>
      </c>
    </row>
    <row r="293" spans="24:28" x14ac:dyDescent="0.2">
      <c r="X293">
        <v>284</v>
      </c>
      <c r="Y293" s="140">
        <v>1640</v>
      </c>
      <c r="Z293" s="146" t="s">
        <v>364</v>
      </c>
      <c r="AA293" s="140">
        <v>25</v>
      </c>
      <c r="AB293" s="146" t="s">
        <v>68</v>
      </c>
    </row>
    <row r="294" spans="24:28" x14ac:dyDescent="0.2">
      <c r="X294">
        <v>285</v>
      </c>
      <c r="Y294" s="140">
        <v>1856</v>
      </c>
      <c r="Z294" s="146" t="s">
        <v>365</v>
      </c>
      <c r="AA294" s="140">
        <v>31</v>
      </c>
      <c r="AB294" s="146" t="s">
        <v>70</v>
      </c>
    </row>
    <row r="295" spans="24:28" x14ac:dyDescent="0.2">
      <c r="X295">
        <v>286</v>
      </c>
      <c r="Y295" s="140">
        <v>627</v>
      </c>
      <c r="Z295" s="146" t="s">
        <v>366</v>
      </c>
      <c r="AA295" s="140">
        <v>22</v>
      </c>
      <c r="AB295" s="146" t="s">
        <v>130</v>
      </c>
    </row>
    <row r="296" spans="24:28" x14ac:dyDescent="0.2">
      <c r="X296">
        <v>287</v>
      </c>
      <c r="Y296" s="140">
        <v>1739</v>
      </c>
      <c r="Z296" s="146" t="s">
        <v>367</v>
      </c>
      <c r="AA296" s="140">
        <v>25</v>
      </c>
      <c r="AB296" s="146" t="s">
        <v>158</v>
      </c>
    </row>
    <row r="297" spans="24:28" x14ac:dyDescent="0.2">
      <c r="X297">
        <v>288</v>
      </c>
      <c r="Y297" s="140">
        <v>135</v>
      </c>
      <c r="Z297" s="146" t="s">
        <v>368</v>
      </c>
      <c r="AA297" s="140">
        <v>24</v>
      </c>
      <c r="AB297" s="146" t="s">
        <v>79</v>
      </c>
    </row>
    <row r="298" spans="24:28" x14ac:dyDescent="0.2">
      <c r="X298">
        <v>289</v>
      </c>
      <c r="Y298" s="140">
        <v>1923</v>
      </c>
      <c r="Z298" s="146" t="s">
        <v>369</v>
      </c>
      <c r="AA298" s="140">
        <v>26</v>
      </c>
      <c r="AB298" s="146" t="s">
        <v>102</v>
      </c>
    </row>
    <row r="299" spans="24:28" x14ac:dyDescent="0.2">
      <c r="X299">
        <v>290</v>
      </c>
      <c r="Y299" s="140">
        <v>1840</v>
      </c>
      <c r="Z299" s="146" t="s">
        <v>370</v>
      </c>
      <c r="AA299" s="140">
        <v>26</v>
      </c>
      <c r="AB299" s="146" t="s">
        <v>70</v>
      </c>
    </row>
    <row r="300" spans="24:28" x14ac:dyDescent="0.2">
      <c r="X300">
        <v>291</v>
      </c>
      <c r="Y300" s="140">
        <v>1242</v>
      </c>
      <c r="Z300" s="146" t="s">
        <v>371</v>
      </c>
      <c r="AA300" s="140">
        <v>24</v>
      </c>
      <c r="AB300" s="146" t="s">
        <v>88</v>
      </c>
    </row>
    <row r="301" spans="24:28" x14ac:dyDescent="0.2">
      <c r="X301">
        <v>292</v>
      </c>
      <c r="Y301" s="140">
        <v>713</v>
      </c>
      <c r="Z301" s="146" t="s">
        <v>372</v>
      </c>
      <c r="AA301" s="140">
        <v>23</v>
      </c>
      <c r="AB301" s="146" t="s">
        <v>76</v>
      </c>
    </row>
    <row r="302" spans="24:28" x14ac:dyDescent="0.2">
      <c r="X302">
        <v>293</v>
      </c>
      <c r="Y302" s="140">
        <v>1514</v>
      </c>
      <c r="Z302" s="146" t="s">
        <v>372</v>
      </c>
      <c r="AA302" s="140">
        <v>30</v>
      </c>
      <c r="AB302" s="146" t="s">
        <v>92</v>
      </c>
    </row>
    <row r="303" spans="24:28" x14ac:dyDescent="0.2">
      <c r="X303">
        <v>294</v>
      </c>
      <c r="Y303" s="140">
        <v>706</v>
      </c>
      <c r="Z303" s="146" t="s">
        <v>373</v>
      </c>
      <c r="AA303" s="140">
        <v>24</v>
      </c>
      <c r="AB303" s="146" t="s">
        <v>76</v>
      </c>
    </row>
    <row r="304" spans="24:28" x14ac:dyDescent="0.2">
      <c r="X304">
        <v>295</v>
      </c>
      <c r="Y304" s="140">
        <v>1102</v>
      </c>
      <c r="Z304" s="146" t="s">
        <v>374</v>
      </c>
      <c r="AA304" s="140">
        <v>26</v>
      </c>
      <c r="AB304" s="146" t="s">
        <v>114</v>
      </c>
    </row>
    <row r="305" spans="24:28" x14ac:dyDescent="0.2">
      <c r="X305">
        <v>296</v>
      </c>
      <c r="Y305" s="140">
        <v>1546</v>
      </c>
      <c r="Z305" s="146" t="s">
        <v>375</v>
      </c>
      <c r="AA305" s="140">
        <v>31</v>
      </c>
      <c r="AB305" s="146" t="s">
        <v>92</v>
      </c>
    </row>
    <row r="306" spans="24:28" x14ac:dyDescent="0.2">
      <c r="X306">
        <v>297</v>
      </c>
      <c r="Y306" s="140">
        <v>105</v>
      </c>
      <c r="Z306" s="146" t="s">
        <v>376</v>
      </c>
      <c r="AA306" s="140">
        <v>24</v>
      </c>
      <c r="AB306" s="146" t="s">
        <v>79</v>
      </c>
    </row>
    <row r="307" spans="24:28" x14ac:dyDescent="0.2">
      <c r="X307">
        <v>298</v>
      </c>
      <c r="Y307" s="140">
        <v>1135</v>
      </c>
      <c r="Z307" s="146" t="s">
        <v>377</v>
      </c>
      <c r="AA307" s="140">
        <v>24</v>
      </c>
      <c r="AB307" s="146" t="s">
        <v>114</v>
      </c>
    </row>
    <row r="308" spans="24:28" x14ac:dyDescent="0.2">
      <c r="X308">
        <v>299</v>
      </c>
      <c r="Y308" s="140">
        <v>822</v>
      </c>
      <c r="Z308" s="146" t="s">
        <v>378</v>
      </c>
      <c r="AA308" s="140">
        <v>22</v>
      </c>
      <c r="AB308" s="146" t="s">
        <v>104</v>
      </c>
    </row>
    <row r="309" spans="24:28" x14ac:dyDescent="0.2">
      <c r="X309">
        <v>300</v>
      </c>
      <c r="Y309" s="140">
        <v>517</v>
      </c>
      <c r="Z309" s="146" t="s">
        <v>379</v>
      </c>
      <c r="AA309" s="140">
        <v>22</v>
      </c>
      <c r="AB309" s="146" t="s">
        <v>128</v>
      </c>
    </row>
    <row r="310" spans="24:28" x14ac:dyDescent="0.2">
      <c r="X310">
        <v>301</v>
      </c>
      <c r="Y310" s="140">
        <v>1664</v>
      </c>
      <c r="Z310" s="146" t="s">
        <v>380</v>
      </c>
      <c r="AA310" s="140">
        <v>25</v>
      </c>
      <c r="AB310" s="146" t="s">
        <v>68</v>
      </c>
    </row>
    <row r="311" spans="24:28" x14ac:dyDescent="0.2">
      <c r="X311">
        <v>302</v>
      </c>
      <c r="Y311" s="140">
        <v>1441</v>
      </c>
      <c r="Z311" s="146" t="s">
        <v>381</v>
      </c>
      <c r="AA311" s="140">
        <v>31</v>
      </c>
      <c r="AB311" s="146" t="s">
        <v>86</v>
      </c>
    </row>
    <row r="312" spans="24:28" x14ac:dyDescent="0.2">
      <c r="X312">
        <v>303</v>
      </c>
      <c r="Y312" s="140">
        <v>828</v>
      </c>
      <c r="Z312" s="146" t="s">
        <v>382</v>
      </c>
      <c r="AA312" s="140">
        <v>22</v>
      </c>
      <c r="AB312" s="146" t="s">
        <v>104</v>
      </c>
    </row>
    <row r="313" spans="24:28" x14ac:dyDescent="0.2">
      <c r="X313">
        <v>304</v>
      </c>
      <c r="Y313" s="140">
        <v>621</v>
      </c>
      <c r="Z313" s="146" t="s">
        <v>383</v>
      </c>
      <c r="AA313" s="140">
        <v>22</v>
      </c>
      <c r="AB313" s="146" t="s">
        <v>130</v>
      </c>
    </row>
    <row r="314" spans="24:28" x14ac:dyDescent="0.2">
      <c r="X314">
        <v>305</v>
      </c>
      <c r="Y314" s="140">
        <v>811</v>
      </c>
      <c r="Z314" s="146" t="s">
        <v>384</v>
      </c>
      <c r="AA314" s="140">
        <v>22</v>
      </c>
      <c r="AB314" s="146" t="s">
        <v>104</v>
      </c>
    </row>
    <row r="315" spans="24:28" x14ac:dyDescent="0.2">
      <c r="X315">
        <v>306</v>
      </c>
      <c r="Y315" s="140">
        <v>1046</v>
      </c>
      <c r="Z315" s="146" t="s">
        <v>385</v>
      </c>
      <c r="AA315" s="140">
        <v>24</v>
      </c>
      <c r="AB315" s="146" t="s">
        <v>90</v>
      </c>
    </row>
    <row r="316" spans="24:28" x14ac:dyDescent="0.2">
      <c r="X316">
        <v>307</v>
      </c>
      <c r="Y316" s="140">
        <v>1657</v>
      </c>
      <c r="Z316" s="146" t="s">
        <v>386</v>
      </c>
      <c r="AA316" s="140">
        <v>25</v>
      </c>
      <c r="AB316" s="146" t="s">
        <v>68</v>
      </c>
    </row>
    <row r="317" spans="24:28" x14ac:dyDescent="0.2">
      <c r="X317">
        <v>308</v>
      </c>
      <c r="Y317" s="140">
        <v>231</v>
      </c>
      <c r="Z317" s="146" t="s">
        <v>387</v>
      </c>
      <c r="AA317" s="140">
        <v>22</v>
      </c>
      <c r="AB317" s="146" t="s">
        <v>83</v>
      </c>
    </row>
    <row r="318" spans="24:28" x14ac:dyDescent="0.2">
      <c r="X318">
        <v>309</v>
      </c>
      <c r="Y318" s="140">
        <v>213</v>
      </c>
      <c r="Z318" s="146" t="s">
        <v>388</v>
      </c>
      <c r="AA318" s="140">
        <v>22</v>
      </c>
      <c r="AB318" s="146" t="s">
        <v>83</v>
      </c>
    </row>
    <row r="319" spans="24:28" x14ac:dyDescent="0.2">
      <c r="X319">
        <v>310</v>
      </c>
      <c r="Y319" s="140">
        <v>806</v>
      </c>
      <c r="Z319" s="146" t="s">
        <v>389</v>
      </c>
      <c r="AA319" s="140">
        <v>22</v>
      </c>
      <c r="AB319" s="146" t="s">
        <v>104</v>
      </c>
    </row>
    <row r="320" spans="24:28" x14ac:dyDescent="0.2">
      <c r="X320">
        <v>311</v>
      </c>
      <c r="Y320" s="140">
        <v>127</v>
      </c>
      <c r="Z320" s="146" t="s">
        <v>390</v>
      </c>
      <c r="AA320" s="140">
        <v>22</v>
      </c>
      <c r="AB320" s="146" t="s">
        <v>79</v>
      </c>
    </row>
    <row r="321" spans="24:28" x14ac:dyDescent="0.2">
      <c r="X321">
        <v>312</v>
      </c>
      <c r="Y321" s="140">
        <v>1842</v>
      </c>
      <c r="Z321" s="146" t="s">
        <v>391</v>
      </c>
      <c r="AA321" s="140">
        <v>26</v>
      </c>
      <c r="AB321" s="146" t="s">
        <v>70</v>
      </c>
    </row>
    <row r="322" spans="24:28" x14ac:dyDescent="0.2">
      <c r="X322">
        <v>313</v>
      </c>
      <c r="Y322" s="140">
        <v>1941</v>
      </c>
      <c r="Z322" s="146" t="s">
        <v>392</v>
      </c>
      <c r="AA322" s="140">
        <v>28</v>
      </c>
      <c r="AB322" s="146" t="s">
        <v>102</v>
      </c>
    </row>
    <row r="323" spans="24:28" x14ac:dyDescent="0.2">
      <c r="X323">
        <v>314</v>
      </c>
      <c r="Y323" s="140">
        <v>513</v>
      </c>
      <c r="Z323" s="146" t="s">
        <v>393</v>
      </c>
      <c r="AA323" s="140">
        <v>25</v>
      </c>
      <c r="AB323" s="146" t="s">
        <v>128</v>
      </c>
    </row>
    <row r="324" spans="24:28" x14ac:dyDescent="0.2">
      <c r="X324">
        <v>315</v>
      </c>
      <c r="Y324" s="140">
        <v>1529</v>
      </c>
      <c r="Z324" s="146" t="s">
        <v>394</v>
      </c>
      <c r="AA324" s="140">
        <v>29</v>
      </c>
      <c r="AB324" s="146" t="s">
        <v>92</v>
      </c>
    </row>
    <row r="325" spans="24:28" x14ac:dyDescent="0.2">
      <c r="X325">
        <v>316</v>
      </c>
      <c r="Y325" s="140">
        <v>1913</v>
      </c>
      <c r="Z325" s="146" t="s">
        <v>395</v>
      </c>
      <c r="AA325" s="140">
        <v>26</v>
      </c>
      <c r="AB325" s="146" t="s">
        <v>102</v>
      </c>
    </row>
    <row r="326" spans="24:28" x14ac:dyDescent="0.2">
      <c r="X326">
        <v>317</v>
      </c>
      <c r="Y326" s="140">
        <v>1573</v>
      </c>
      <c r="Z326" s="146" t="s">
        <v>396</v>
      </c>
      <c r="AA326" s="140">
        <v>30</v>
      </c>
      <c r="AB326" s="146" t="s">
        <v>92</v>
      </c>
    </row>
    <row r="327" spans="24:28" x14ac:dyDescent="0.2">
      <c r="X327">
        <v>318</v>
      </c>
      <c r="Y327" s="140">
        <v>1613</v>
      </c>
      <c r="Z327" s="146" t="s">
        <v>397</v>
      </c>
      <c r="AA327" s="140">
        <v>27</v>
      </c>
      <c r="AB327" s="146" t="s">
        <v>68</v>
      </c>
    </row>
    <row r="328" spans="24:28" x14ac:dyDescent="0.2">
      <c r="X328">
        <v>319</v>
      </c>
      <c r="Y328" s="140">
        <v>1736</v>
      </c>
      <c r="Z328" s="146" t="s">
        <v>398</v>
      </c>
      <c r="AA328" s="140">
        <v>25</v>
      </c>
      <c r="AB328" s="146" t="s">
        <v>158</v>
      </c>
    </row>
    <row r="329" spans="24:28" x14ac:dyDescent="0.2">
      <c r="X329">
        <v>320</v>
      </c>
      <c r="Y329" s="140">
        <v>1420</v>
      </c>
      <c r="Z329" s="146" t="s">
        <v>399</v>
      </c>
      <c r="AA329" s="140">
        <v>24</v>
      </c>
      <c r="AB329" s="146" t="s">
        <v>86</v>
      </c>
    </row>
    <row r="330" spans="24:28" x14ac:dyDescent="0.2">
      <c r="X330">
        <v>321</v>
      </c>
      <c r="Y330" s="140">
        <v>1111</v>
      </c>
      <c r="Z330" s="146" t="s">
        <v>400</v>
      </c>
      <c r="AA330" s="140">
        <v>27</v>
      </c>
      <c r="AB330" s="146" t="s">
        <v>114</v>
      </c>
    </row>
    <row r="331" spans="24:28" x14ac:dyDescent="0.2">
      <c r="X331">
        <v>322</v>
      </c>
      <c r="Y331" s="140">
        <v>1124</v>
      </c>
      <c r="Z331" s="146" t="s">
        <v>401</v>
      </c>
      <c r="AA331" s="140">
        <v>28</v>
      </c>
      <c r="AB331" s="146" t="s">
        <v>114</v>
      </c>
    </row>
    <row r="332" spans="24:28" x14ac:dyDescent="0.2">
      <c r="X332">
        <v>323</v>
      </c>
      <c r="Y332" s="140">
        <v>1412</v>
      </c>
      <c r="Z332" s="146" t="s">
        <v>402</v>
      </c>
      <c r="AA332" s="140">
        <v>29</v>
      </c>
      <c r="AB332" s="146" t="s">
        <v>86</v>
      </c>
    </row>
    <row r="333" spans="24:28" x14ac:dyDescent="0.2">
      <c r="X333">
        <v>324</v>
      </c>
      <c r="Y333" s="140">
        <v>1017</v>
      </c>
      <c r="Z333" s="146" t="s">
        <v>403</v>
      </c>
      <c r="AA333" s="140">
        <v>24</v>
      </c>
      <c r="AB333" s="146" t="s">
        <v>90</v>
      </c>
    </row>
    <row r="334" spans="24:28" x14ac:dyDescent="0.2">
      <c r="X334">
        <v>325</v>
      </c>
      <c r="Y334" s="140">
        <v>1870</v>
      </c>
      <c r="Z334" s="146" t="s">
        <v>404</v>
      </c>
      <c r="AA334" s="140">
        <v>28</v>
      </c>
      <c r="AB334" s="146" t="s">
        <v>70</v>
      </c>
    </row>
    <row r="335" spans="24:28" x14ac:dyDescent="0.2">
      <c r="X335">
        <v>326</v>
      </c>
      <c r="Y335" s="140">
        <v>123</v>
      </c>
      <c r="Z335" s="146" t="s">
        <v>405</v>
      </c>
      <c r="AA335" s="140">
        <v>22</v>
      </c>
      <c r="AB335" s="146" t="s">
        <v>79</v>
      </c>
    </row>
    <row r="336" spans="24:28" x14ac:dyDescent="0.2">
      <c r="X336">
        <v>327</v>
      </c>
      <c r="Y336" s="140">
        <v>417</v>
      </c>
      <c r="Z336" s="146" t="s">
        <v>406</v>
      </c>
      <c r="AA336" s="140">
        <v>22</v>
      </c>
      <c r="AB336" s="146" t="s">
        <v>74</v>
      </c>
    </row>
    <row r="337" spans="24:28" x14ac:dyDescent="0.2">
      <c r="X337">
        <v>328</v>
      </c>
      <c r="Y337" s="140">
        <v>1103</v>
      </c>
      <c r="Z337" s="146" t="s">
        <v>407</v>
      </c>
      <c r="AA337" s="140">
        <v>26</v>
      </c>
      <c r="AB337" s="146" t="s">
        <v>114</v>
      </c>
    </row>
    <row r="338" spans="24:28" x14ac:dyDescent="0.2">
      <c r="X338">
        <v>329</v>
      </c>
      <c r="Y338" s="140">
        <v>1848</v>
      </c>
      <c r="Z338" s="146" t="s">
        <v>408</v>
      </c>
      <c r="AA338" s="140">
        <v>29</v>
      </c>
      <c r="AB338" s="146" t="s">
        <v>70</v>
      </c>
    </row>
    <row r="339" spans="24:28" x14ac:dyDescent="0.2">
      <c r="X339">
        <v>330</v>
      </c>
      <c r="Y339" s="140">
        <v>1702</v>
      </c>
      <c r="Z339" s="146" t="s">
        <v>409</v>
      </c>
      <c r="AA339" s="140">
        <v>26</v>
      </c>
      <c r="AB339" s="146" t="s">
        <v>158</v>
      </c>
    </row>
    <row r="340" spans="24:28" x14ac:dyDescent="0.2">
      <c r="X340">
        <v>331</v>
      </c>
      <c r="Y340" s="140">
        <v>1714</v>
      </c>
      <c r="Z340" s="146" t="s">
        <v>410</v>
      </c>
      <c r="AA340" s="140">
        <v>26</v>
      </c>
      <c r="AB340" s="146" t="s">
        <v>158</v>
      </c>
    </row>
    <row r="341" spans="24:28" x14ac:dyDescent="0.2">
      <c r="X341">
        <v>332</v>
      </c>
      <c r="Y341" s="140">
        <v>720</v>
      </c>
      <c r="Z341" s="146" t="s">
        <v>411</v>
      </c>
      <c r="AA341" s="140">
        <v>24</v>
      </c>
      <c r="AB341" s="146" t="s">
        <v>76</v>
      </c>
    </row>
    <row r="342" spans="24:28" x14ac:dyDescent="0.2">
      <c r="X342">
        <v>333</v>
      </c>
      <c r="Y342" s="140">
        <v>1221</v>
      </c>
      <c r="Z342" s="146" t="s">
        <v>412</v>
      </c>
      <c r="AA342" s="140">
        <v>26</v>
      </c>
      <c r="AB342" s="146" t="s">
        <v>88</v>
      </c>
    </row>
    <row r="343" spans="24:28" x14ac:dyDescent="0.2">
      <c r="X343">
        <v>334</v>
      </c>
      <c r="Y343" s="140">
        <v>1526</v>
      </c>
      <c r="Z343" s="146" t="s">
        <v>413</v>
      </c>
      <c r="AA343" s="140">
        <v>26</v>
      </c>
      <c r="AB343" s="146" t="s">
        <v>92</v>
      </c>
    </row>
    <row r="344" spans="24:28" x14ac:dyDescent="0.2">
      <c r="X344">
        <v>335</v>
      </c>
      <c r="Y344" s="140">
        <v>430</v>
      </c>
      <c r="Z344" s="146" t="s">
        <v>414</v>
      </c>
      <c r="AA344" s="140">
        <v>22</v>
      </c>
      <c r="AB344" s="146" t="s">
        <v>74</v>
      </c>
    </row>
    <row r="345" spans="24:28" x14ac:dyDescent="0.2">
      <c r="X345">
        <v>336</v>
      </c>
      <c r="Y345" s="140">
        <v>1939</v>
      </c>
      <c r="Z345" s="146" t="s">
        <v>415</v>
      </c>
      <c r="AA345" s="140">
        <v>24</v>
      </c>
      <c r="AB345" s="146" t="s">
        <v>102</v>
      </c>
    </row>
    <row r="346" spans="24:28" x14ac:dyDescent="0.2">
      <c r="X346">
        <v>337</v>
      </c>
      <c r="Y346" s="140">
        <v>1130</v>
      </c>
      <c r="Z346" s="146" t="s">
        <v>416</v>
      </c>
      <c r="AA346" s="140">
        <v>26</v>
      </c>
      <c r="AB346" s="146" t="s">
        <v>114</v>
      </c>
    </row>
    <row r="347" spans="24:28" x14ac:dyDescent="0.2">
      <c r="X347">
        <v>338</v>
      </c>
      <c r="Y347" s="140">
        <v>1525</v>
      </c>
      <c r="Z347" s="146" t="s">
        <v>417</v>
      </c>
      <c r="AA347" s="140">
        <v>26</v>
      </c>
      <c r="AB347" s="146" t="s">
        <v>92</v>
      </c>
    </row>
    <row r="348" spans="24:28" x14ac:dyDescent="0.2">
      <c r="X348">
        <v>339</v>
      </c>
      <c r="Y348" s="140">
        <v>1449</v>
      </c>
      <c r="Z348" s="146" t="s">
        <v>418</v>
      </c>
      <c r="AA348" s="140">
        <v>24</v>
      </c>
      <c r="AB348" s="146" t="s">
        <v>86</v>
      </c>
    </row>
    <row r="349" spans="24:28" x14ac:dyDescent="0.2">
      <c r="X349">
        <v>340</v>
      </c>
      <c r="Y349" s="140">
        <v>1531</v>
      </c>
      <c r="Z349" s="146" t="s">
        <v>419</v>
      </c>
      <c r="AA349" s="140">
        <v>29</v>
      </c>
      <c r="AB349" s="146" t="s">
        <v>92</v>
      </c>
    </row>
    <row r="350" spans="24:28" x14ac:dyDescent="0.2">
      <c r="X350">
        <v>341</v>
      </c>
      <c r="Y350" s="140">
        <v>1134</v>
      </c>
      <c r="Z350" s="146" t="s">
        <v>420</v>
      </c>
      <c r="AA350" s="140">
        <v>24</v>
      </c>
      <c r="AB350" s="146" t="s">
        <v>114</v>
      </c>
    </row>
    <row r="351" spans="24:28" x14ac:dyDescent="0.2">
      <c r="X351">
        <v>342</v>
      </c>
      <c r="Y351" s="140">
        <v>1245</v>
      </c>
      <c r="Z351" s="146" t="s">
        <v>421</v>
      </c>
      <c r="AA351" s="140">
        <v>28</v>
      </c>
      <c r="AB351" s="146" t="s">
        <v>88</v>
      </c>
    </row>
    <row r="352" spans="24:28" x14ac:dyDescent="0.2">
      <c r="X352">
        <v>343</v>
      </c>
      <c r="Y352" s="140">
        <v>1563</v>
      </c>
      <c r="Z352" s="146" t="s">
        <v>422</v>
      </c>
      <c r="AA352" s="140">
        <v>27</v>
      </c>
      <c r="AB352" s="146" t="s">
        <v>92</v>
      </c>
    </row>
    <row r="353" spans="24:28" x14ac:dyDescent="0.2">
      <c r="X353">
        <v>344</v>
      </c>
      <c r="Y353" s="140">
        <v>1566</v>
      </c>
      <c r="Z353" s="146" t="s">
        <v>423</v>
      </c>
      <c r="AA353" s="140">
        <v>25</v>
      </c>
      <c r="AB353" s="146" t="s">
        <v>92</v>
      </c>
    </row>
    <row r="354" spans="24:28" x14ac:dyDescent="0.2">
      <c r="X354">
        <v>345</v>
      </c>
      <c r="Y354" s="140"/>
      <c r="Z354" s="146" t="s">
        <v>424</v>
      </c>
      <c r="AA354" s="140">
        <v>30</v>
      </c>
      <c r="AB354" s="146" t="s">
        <v>424</v>
      </c>
    </row>
    <row r="355" spans="24:28" x14ac:dyDescent="0.2">
      <c r="X355">
        <v>346</v>
      </c>
      <c r="Y355" s="140">
        <v>1216</v>
      </c>
      <c r="Z355" s="146" t="s">
        <v>425</v>
      </c>
      <c r="AA355" s="140">
        <v>26</v>
      </c>
      <c r="AB355" s="146" t="s">
        <v>88</v>
      </c>
    </row>
    <row r="356" spans="24:28" x14ac:dyDescent="0.2">
      <c r="X356">
        <v>347</v>
      </c>
      <c r="Y356" s="140">
        <v>711</v>
      </c>
      <c r="Z356" s="146" t="s">
        <v>426</v>
      </c>
      <c r="AA356" s="140">
        <v>23</v>
      </c>
      <c r="AB356" s="146" t="s">
        <v>76</v>
      </c>
    </row>
    <row r="357" spans="24:28" x14ac:dyDescent="0.2">
      <c r="X357">
        <v>348</v>
      </c>
      <c r="Y357" s="140">
        <v>1528</v>
      </c>
      <c r="Z357" s="146" t="s">
        <v>427</v>
      </c>
      <c r="AA357" s="140">
        <v>28</v>
      </c>
      <c r="AB357" s="146" t="s">
        <v>92</v>
      </c>
    </row>
    <row r="358" spans="24:28" x14ac:dyDescent="0.2">
      <c r="X358">
        <v>349</v>
      </c>
      <c r="Y358" s="140">
        <v>1018</v>
      </c>
      <c r="Z358" s="146" t="s">
        <v>428</v>
      </c>
      <c r="AA358" s="140">
        <v>26</v>
      </c>
      <c r="AB358" s="146" t="s">
        <v>90</v>
      </c>
    </row>
    <row r="359" spans="24:28" x14ac:dyDescent="0.2">
      <c r="X359">
        <v>350</v>
      </c>
      <c r="Y359" s="140">
        <v>1812</v>
      </c>
      <c r="Z359" s="146" t="s">
        <v>429</v>
      </c>
      <c r="AA359" s="140">
        <v>30</v>
      </c>
      <c r="AB359" s="146" t="s">
        <v>70</v>
      </c>
    </row>
    <row r="360" spans="24:28" x14ac:dyDescent="0.2">
      <c r="X360">
        <v>351</v>
      </c>
      <c r="Y360" s="140">
        <v>536</v>
      </c>
      <c r="Z360" s="146" t="s">
        <v>430</v>
      </c>
      <c r="AA360" s="140">
        <v>22</v>
      </c>
      <c r="AB360" s="146" t="s">
        <v>128</v>
      </c>
    </row>
    <row r="361" spans="24:28" x14ac:dyDescent="0.2">
      <c r="X361">
        <v>352</v>
      </c>
      <c r="Y361" s="140">
        <v>540</v>
      </c>
      <c r="Z361" s="146" t="s">
        <v>431</v>
      </c>
      <c r="AA361" s="140">
        <v>22</v>
      </c>
      <c r="AB361" s="146" t="s">
        <v>128</v>
      </c>
    </row>
    <row r="362" spans="24:28" x14ac:dyDescent="0.2">
      <c r="X362">
        <v>353</v>
      </c>
      <c r="Y362" s="140">
        <v>1845</v>
      </c>
      <c r="Z362" s="146" t="s">
        <v>432</v>
      </c>
      <c r="AA362" s="140">
        <v>26</v>
      </c>
      <c r="AB362" s="146" t="s">
        <v>70</v>
      </c>
    </row>
    <row r="363" spans="24:28" x14ac:dyDescent="0.2">
      <c r="X363">
        <v>354</v>
      </c>
      <c r="Y363" s="140">
        <v>519</v>
      </c>
      <c r="Z363" s="146" t="s">
        <v>433</v>
      </c>
      <c r="AA363" s="140">
        <v>22</v>
      </c>
      <c r="AB363" s="146" t="s">
        <v>128</v>
      </c>
    </row>
    <row r="364" spans="24:28" x14ac:dyDescent="0.2">
      <c r="X364">
        <v>355</v>
      </c>
      <c r="Y364" s="140">
        <v>419</v>
      </c>
      <c r="Z364" s="146" t="s">
        <v>434</v>
      </c>
      <c r="AA364" s="140">
        <v>22</v>
      </c>
      <c r="AB364" s="146" t="s">
        <v>74</v>
      </c>
    </row>
    <row r="365" spans="24:28" x14ac:dyDescent="0.2">
      <c r="X365">
        <v>356</v>
      </c>
      <c r="Y365" s="140">
        <v>1925</v>
      </c>
      <c r="Z365" s="146" t="s">
        <v>435</v>
      </c>
      <c r="AA365" s="140">
        <v>26</v>
      </c>
      <c r="AB365" s="146" t="s">
        <v>102</v>
      </c>
    </row>
    <row r="366" spans="24:28" x14ac:dyDescent="0.2">
      <c r="X366">
        <v>357</v>
      </c>
      <c r="Y366" s="140">
        <v>226</v>
      </c>
      <c r="Z366" s="146" t="s">
        <v>436</v>
      </c>
      <c r="AA366" s="140">
        <v>22</v>
      </c>
      <c r="AB366" s="146" t="s">
        <v>83</v>
      </c>
    </row>
    <row r="367" spans="24:28" x14ac:dyDescent="0.2">
      <c r="X367">
        <v>358</v>
      </c>
      <c r="Y367" s="140">
        <v>2030</v>
      </c>
      <c r="Z367" s="146" t="s">
        <v>437</v>
      </c>
      <c r="AA367" s="140">
        <v>29</v>
      </c>
      <c r="AB367" s="146" t="s">
        <v>72</v>
      </c>
    </row>
    <row r="368" spans="24:28" x14ac:dyDescent="0.2">
      <c r="X368">
        <v>359</v>
      </c>
      <c r="Y368" s="140">
        <v>2025</v>
      </c>
      <c r="Z368" s="146" t="s">
        <v>438</v>
      </c>
      <c r="AA368" s="140">
        <v>27</v>
      </c>
      <c r="AB368" s="146" t="s">
        <v>72</v>
      </c>
    </row>
    <row r="369" spans="24:28" x14ac:dyDescent="0.2">
      <c r="X369">
        <v>360</v>
      </c>
      <c r="Y369" s="140">
        <v>1121</v>
      </c>
      <c r="Z369" s="146" t="s">
        <v>439</v>
      </c>
      <c r="AA369" s="140">
        <v>28</v>
      </c>
      <c r="AB369" s="146" t="s">
        <v>114</v>
      </c>
    </row>
    <row r="370" spans="24:28" x14ac:dyDescent="0.2">
      <c r="X370">
        <v>361</v>
      </c>
      <c r="Y370" s="140">
        <v>1560</v>
      </c>
      <c r="Z370" s="146" t="s">
        <v>440</v>
      </c>
      <c r="AA370" s="140">
        <v>28</v>
      </c>
      <c r="AB370" s="146" t="s">
        <v>92</v>
      </c>
    </row>
    <row r="371" spans="24:28" x14ac:dyDescent="0.2">
      <c r="X371">
        <v>362</v>
      </c>
      <c r="Y371" s="140">
        <v>826</v>
      </c>
      <c r="Z371" s="146" t="s">
        <v>441</v>
      </c>
      <c r="AA371" s="140">
        <v>24</v>
      </c>
      <c r="AB371" s="146" t="s">
        <v>104</v>
      </c>
    </row>
    <row r="372" spans="24:28" x14ac:dyDescent="0.2">
      <c r="X372">
        <v>363</v>
      </c>
      <c r="Y372" s="140">
        <v>1852</v>
      </c>
      <c r="Z372" s="146" t="s">
        <v>442</v>
      </c>
      <c r="AA372" s="140">
        <v>27</v>
      </c>
      <c r="AB372" s="146" t="s">
        <v>70</v>
      </c>
    </row>
    <row r="373" spans="24:28" x14ac:dyDescent="0.2">
      <c r="X373">
        <v>364</v>
      </c>
      <c r="Y373" s="140">
        <v>723</v>
      </c>
      <c r="Z373" s="146" t="s">
        <v>443</v>
      </c>
      <c r="AA373" s="140">
        <v>26</v>
      </c>
      <c r="AB373" s="146" t="s">
        <v>76</v>
      </c>
    </row>
    <row r="374" spans="24:28" x14ac:dyDescent="0.2">
      <c r="X374">
        <v>365</v>
      </c>
      <c r="Y374" s="140">
        <v>833</v>
      </c>
      <c r="Z374" s="146" t="s">
        <v>444</v>
      </c>
      <c r="AA374" s="140">
        <v>24</v>
      </c>
      <c r="AB374" s="146" t="s">
        <v>104</v>
      </c>
    </row>
    <row r="375" spans="24:28" x14ac:dyDescent="0.2">
      <c r="X375">
        <v>366</v>
      </c>
      <c r="Y375" s="140">
        <v>436</v>
      </c>
      <c r="Z375" s="146" t="s">
        <v>445</v>
      </c>
      <c r="AA375" s="140">
        <v>24</v>
      </c>
      <c r="AB375" s="146" t="s">
        <v>74</v>
      </c>
    </row>
    <row r="376" spans="24:28" x14ac:dyDescent="0.2">
      <c r="X376">
        <v>367</v>
      </c>
      <c r="Y376" s="140">
        <v>1928</v>
      </c>
      <c r="Z376" s="146" t="s">
        <v>446</v>
      </c>
      <c r="AA376" s="140">
        <v>30</v>
      </c>
      <c r="AB376" s="146" t="s">
        <v>102</v>
      </c>
    </row>
    <row r="377" spans="24:28" x14ac:dyDescent="0.2">
      <c r="X377">
        <v>368</v>
      </c>
      <c r="Y377" s="140">
        <v>1927</v>
      </c>
      <c r="Z377" s="146" t="s">
        <v>447</v>
      </c>
      <c r="AA377" s="140">
        <v>27</v>
      </c>
      <c r="AB377" s="146" t="s">
        <v>102</v>
      </c>
    </row>
    <row r="378" spans="24:28" x14ac:dyDescent="0.2">
      <c r="X378">
        <v>369</v>
      </c>
      <c r="Y378" s="140">
        <v>1902</v>
      </c>
      <c r="Z378" s="146" t="s">
        <v>448</v>
      </c>
      <c r="AA378" s="140">
        <v>27</v>
      </c>
      <c r="AB378" s="146" t="s">
        <v>102</v>
      </c>
    </row>
    <row r="379" spans="24:28" x14ac:dyDescent="0.2">
      <c r="X379">
        <v>370</v>
      </c>
      <c r="Y379" s="140">
        <v>1601</v>
      </c>
      <c r="Z379" s="146" t="s">
        <v>449</v>
      </c>
      <c r="AA379" s="140">
        <v>26</v>
      </c>
      <c r="AB379" s="146" t="s">
        <v>68</v>
      </c>
    </row>
    <row r="380" spans="24:28" x14ac:dyDescent="0.2">
      <c r="X380">
        <v>371</v>
      </c>
      <c r="Y380" s="140">
        <v>428</v>
      </c>
      <c r="Z380" s="146" t="s">
        <v>450</v>
      </c>
      <c r="AA380" s="140">
        <v>22</v>
      </c>
      <c r="AB380" s="146" t="s">
        <v>74</v>
      </c>
    </row>
    <row r="381" spans="24:28" x14ac:dyDescent="0.2">
      <c r="X381">
        <v>372</v>
      </c>
      <c r="Y381" s="140">
        <v>1835</v>
      </c>
      <c r="Z381" s="146" t="s">
        <v>451</v>
      </c>
      <c r="AA381" s="140">
        <v>31</v>
      </c>
      <c r="AB381" s="146" t="s">
        <v>70</v>
      </c>
    </row>
    <row r="382" spans="24:28" x14ac:dyDescent="0.2">
      <c r="X382">
        <v>373</v>
      </c>
      <c r="Y382" s="140">
        <v>122</v>
      </c>
      <c r="Z382" s="146" t="s">
        <v>452</v>
      </c>
      <c r="AA382" s="140">
        <v>22</v>
      </c>
      <c r="AB382" s="146" t="s">
        <v>79</v>
      </c>
    </row>
    <row r="383" spans="24:28" x14ac:dyDescent="0.2">
      <c r="X383">
        <v>374</v>
      </c>
      <c r="Y383" s="140">
        <v>1572</v>
      </c>
      <c r="Z383" s="146" t="s">
        <v>453</v>
      </c>
      <c r="AA383" s="140">
        <v>30</v>
      </c>
      <c r="AB383" s="146" t="s">
        <v>92</v>
      </c>
    </row>
    <row r="384" spans="24:28" x14ac:dyDescent="0.2">
      <c r="X384">
        <v>375</v>
      </c>
      <c r="Y384" s="140">
        <v>914</v>
      </c>
      <c r="Z384" s="146" t="s">
        <v>454</v>
      </c>
      <c r="AA384" s="140">
        <v>26</v>
      </c>
      <c r="AB384" s="146" t="s">
        <v>81</v>
      </c>
    </row>
    <row r="385" spans="24:28" x14ac:dyDescent="0.2">
      <c r="X385">
        <v>376</v>
      </c>
      <c r="Y385" s="140">
        <v>1665</v>
      </c>
      <c r="Z385" s="146" t="s">
        <v>455</v>
      </c>
      <c r="AA385" s="140">
        <v>25</v>
      </c>
      <c r="AB385" s="146" t="s">
        <v>68</v>
      </c>
    </row>
    <row r="386" spans="24:28" x14ac:dyDescent="0.2">
      <c r="X386">
        <v>377</v>
      </c>
      <c r="Y386" s="140">
        <v>437</v>
      </c>
      <c r="Z386" s="146" t="s">
        <v>456</v>
      </c>
      <c r="AA386" s="140">
        <v>24</v>
      </c>
      <c r="AB386" s="146" t="s">
        <v>74</v>
      </c>
    </row>
    <row r="387" spans="24:28" x14ac:dyDescent="0.2">
      <c r="X387">
        <v>378</v>
      </c>
      <c r="Y387" s="140">
        <v>1850</v>
      </c>
      <c r="Z387" s="146" t="s">
        <v>457</v>
      </c>
      <c r="AA387" s="140">
        <v>27</v>
      </c>
      <c r="AB387" s="146" t="s">
        <v>70</v>
      </c>
    </row>
    <row r="388" spans="24:28" x14ac:dyDescent="0.2">
      <c r="X388">
        <v>379</v>
      </c>
      <c r="Y388" s="140">
        <v>1223</v>
      </c>
      <c r="Z388" s="146" t="s">
        <v>458</v>
      </c>
      <c r="AA388" s="140">
        <v>26</v>
      </c>
      <c r="AB388" s="146" t="s">
        <v>88</v>
      </c>
    </row>
    <row r="389" spans="24:28" x14ac:dyDescent="0.2">
      <c r="X389">
        <v>380</v>
      </c>
      <c r="Y389" s="140">
        <v>1146</v>
      </c>
      <c r="Z389" s="146" t="s">
        <v>459</v>
      </c>
      <c r="AA389" s="140">
        <v>26</v>
      </c>
      <c r="AB389" s="146" t="s">
        <v>114</v>
      </c>
    </row>
    <row r="390" spans="24:28" x14ac:dyDescent="0.2">
      <c r="X390">
        <v>381</v>
      </c>
      <c r="Y390" s="140">
        <v>704</v>
      </c>
      <c r="Z390" s="146" t="s">
        <v>460</v>
      </c>
      <c r="AA390" s="140">
        <v>24</v>
      </c>
      <c r="AB390" s="146" t="s">
        <v>76</v>
      </c>
    </row>
    <row r="391" spans="24:28" x14ac:dyDescent="0.2">
      <c r="X391">
        <v>382</v>
      </c>
      <c r="Y391" s="140">
        <v>235</v>
      </c>
      <c r="Z391" s="146" t="s">
        <v>461</v>
      </c>
      <c r="AA391" s="140">
        <v>22</v>
      </c>
      <c r="AB391" s="146" t="s">
        <v>83</v>
      </c>
    </row>
    <row r="392" spans="24:28" x14ac:dyDescent="0.2">
      <c r="X392">
        <v>383</v>
      </c>
      <c r="Y392" s="140">
        <v>1231</v>
      </c>
      <c r="Z392" s="146" t="s">
        <v>462</v>
      </c>
      <c r="AA392" s="140">
        <v>26</v>
      </c>
      <c r="AB392" s="146" t="s">
        <v>88</v>
      </c>
    </row>
    <row r="393" spans="24:28" x14ac:dyDescent="0.2">
      <c r="X393">
        <v>384</v>
      </c>
      <c r="Y393" s="140">
        <v>1516</v>
      </c>
      <c r="Z393" s="146" t="s">
        <v>463</v>
      </c>
      <c r="AA393" s="140">
        <v>30</v>
      </c>
      <c r="AB393" s="146" t="s">
        <v>92</v>
      </c>
    </row>
    <row r="394" spans="24:28" x14ac:dyDescent="0.2">
      <c r="X394">
        <v>385</v>
      </c>
      <c r="Y394" s="140">
        <v>1233</v>
      </c>
      <c r="Z394" s="146" t="s">
        <v>464</v>
      </c>
      <c r="AA394" s="140">
        <v>24</v>
      </c>
      <c r="AB394" s="146" t="s">
        <v>88</v>
      </c>
    </row>
    <row r="395" spans="24:28" x14ac:dyDescent="0.2">
      <c r="X395">
        <v>386</v>
      </c>
      <c r="Y395" s="140">
        <v>1151</v>
      </c>
      <c r="Z395" s="146" t="s">
        <v>465</v>
      </c>
      <c r="AA395" s="140">
        <v>30</v>
      </c>
      <c r="AB395" s="146" t="s">
        <v>114</v>
      </c>
    </row>
    <row r="396" spans="24:28" x14ac:dyDescent="0.2">
      <c r="X396">
        <v>387</v>
      </c>
      <c r="Y396" s="140">
        <v>2003</v>
      </c>
      <c r="Z396" s="146" t="s">
        <v>466</v>
      </c>
      <c r="AA396" s="140">
        <v>29</v>
      </c>
      <c r="AB396" s="146" t="s">
        <v>72</v>
      </c>
    </row>
    <row r="397" spans="24:28" x14ac:dyDescent="0.2">
      <c r="X397">
        <v>388</v>
      </c>
      <c r="Y397" s="140">
        <v>1251</v>
      </c>
      <c r="Z397" s="146" t="s">
        <v>467</v>
      </c>
      <c r="AA397" s="140">
        <v>24</v>
      </c>
      <c r="AB397" s="146" t="s">
        <v>88</v>
      </c>
    </row>
    <row r="398" spans="24:28" x14ac:dyDescent="0.2">
      <c r="X398">
        <v>389</v>
      </c>
      <c r="Y398" s="140">
        <v>940</v>
      </c>
      <c r="Z398" s="146" t="s">
        <v>468</v>
      </c>
      <c r="AA398" s="140">
        <v>24</v>
      </c>
      <c r="AB398" s="146" t="s">
        <v>81</v>
      </c>
    </row>
    <row r="399" spans="24:28" x14ac:dyDescent="0.2">
      <c r="X399">
        <v>390</v>
      </c>
      <c r="Y399" s="140">
        <v>545</v>
      </c>
      <c r="Z399" s="146" t="s">
        <v>469</v>
      </c>
      <c r="AA399" s="140">
        <v>24</v>
      </c>
      <c r="AB399" s="146" t="s">
        <v>128</v>
      </c>
    </row>
    <row r="400" spans="24:28" x14ac:dyDescent="0.2">
      <c r="X400">
        <v>391</v>
      </c>
      <c r="Y400" s="140">
        <v>1511</v>
      </c>
      <c r="Z400" s="146" t="s">
        <v>470</v>
      </c>
      <c r="AA400" s="140">
        <v>30</v>
      </c>
      <c r="AB400" s="146" t="s">
        <v>92</v>
      </c>
    </row>
    <row r="401" spans="24:28" x14ac:dyDescent="0.2">
      <c r="X401">
        <v>392</v>
      </c>
      <c r="Y401" s="140">
        <v>2002</v>
      </c>
      <c r="Z401" s="146" t="s">
        <v>471</v>
      </c>
      <c r="AA401" s="140">
        <v>30</v>
      </c>
      <c r="AB401" s="146" t="s">
        <v>72</v>
      </c>
    </row>
    <row r="402" spans="24:28" x14ac:dyDescent="0.2">
      <c r="X402">
        <v>393</v>
      </c>
      <c r="Y402" s="140">
        <v>1824</v>
      </c>
      <c r="Z402" s="146" t="s">
        <v>472</v>
      </c>
      <c r="AA402" s="140">
        <v>28</v>
      </c>
      <c r="AB402" s="146" t="s">
        <v>70</v>
      </c>
    </row>
    <row r="403" spans="24:28" x14ac:dyDescent="0.2">
      <c r="X403">
        <v>394</v>
      </c>
      <c r="Y403" s="140">
        <v>1815</v>
      </c>
      <c r="Z403" s="146" t="s">
        <v>473</v>
      </c>
      <c r="AA403" s="140">
        <v>30</v>
      </c>
      <c r="AB403" s="146" t="s">
        <v>70</v>
      </c>
    </row>
    <row r="404" spans="24:28" x14ac:dyDescent="0.2">
      <c r="X404">
        <v>395</v>
      </c>
      <c r="Y404" s="140">
        <v>912</v>
      </c>
      <c r="Z404" s="146" t="s">
        <v>474</v>
      </c>
      <c r="AA404" s="140">
        <v>24</v>
      </c>
      <c r="AB404" s="146" t="s">
        <v>81</v>
      </c>
    </row>
    <row r="405" spans="24:28" x14ac:dyDescent="0.2">
      <c r="X405">
        <v>396</v>
      </c>
      <c r="Y405" s="140">
        <v>1014</v>
      </c>
      <c r="Z405" s="146" t="s">
        <v>475</v>
      </c>
      <c r="AA405" s="140">
        <v>24</v>
      </c>
      <c r="AB405" s="146" t="s">
        <v>90</v>
      </c>
    </row>
    <row r="406" spans="24:28" x14ac:dyDescent="0.2">
      <c r="X406">
        <v>397</v>
      </c>
      <c r="Y406" s="140">
        <v>1721</v>
      </c>
      <c r="Z406" s="146" t="s">
        <v>476</v>
      </c>
      <c r="AA406" s="140">
        <v>26</v>
      </c>
      <c r="AB406" s="146" t="s">
        <v>158</v>
      </c>
    </row>
    <row r="407" spans="24:28" x14ac:dyDescent="0.2">
      <c r="X407">
        <v>398</v>
      </c>
      <c r="Y407" s="140">
        <v>1724</v>
      </c>
      <c r="Z407" s="146" t="s">
        <v>477</v>
      </c>
      <c r="AA407" s="140">
        <v>26</v>
      </c>
      <c r="AB407" s="146" t="s">
        <v>158</v>
      </c>
    </row>
    <row r="408" spans="24:28" x14ac:dyDescent="0.2">
      <c r="X408">
        <v>399</v>
      </c>
      <c r="Y408" s="140">
        <v>211</v>
      </c>
      <c r="Z408" s="146" t="s">
        <v>478</v>
      </c>
      <c r="AA408" s="140">
        <v>24</v>
      </c>
      <c r="AB408" s="146" t="s">
        <v>79</v>
      </c>
    </row>
    <row r="409" spans="24:28" x14ac:dyDescent="0.2">
      <c r="X409">
        <v>400</v>
      </c>
      <c r="Y409" s="140">
        <v>1535</v>
      </c>
      <c r="Z409" s="146" t="s">
        <v>479</v>
      </c>
      <c r="AA409" s="140">
        <v>28</v>
      </c>
      <c r="AB409" s="146" t="s">
        <v>92</v>
      </c>
    </row>
    <row r="410" spans="24:28" x14ac:dyDescent="0.2">
      <c r="X410">
        <v>401</v>
      </c>
      <c r="Y410" s="140">
        <v>543</v>
      </c>
      <c r="Z410" s="146" t="s">
        <v>480</v>
      </c>
      <c r="AA410" s="140">
        <v>22</v>
      </c>
      <c r="AB410" s="146" t="s">
        <v>128</v>
      </c>
    </row>
    <row r="411" spans="24:28" x14ac:dyDescent="0.2">
      <c r="X411">
        <v>402</v>
      </c>
      <c r="Y411" s="140">
        <v>529</v>
      </c>
      <c r="Z411" s="146" t="s">
        <v>481</v>
      </c>
      <c r="AA411" s="140">
        <v>22</v>
      </c>
      <c r="AB411" s="146" t="s">
        <v>128</v>
      </c>
    </row>
    <row r="412" spans="24:28" x14ac:dyDescent="0.2">
      <c r="X412">
        <v>403</v>
      </c>
      <c r="Y412" s="140">
        <v>1860</v>
      </c>
      <c r="Z412" s="146" t="s">
        <v>482</v>
      </c>
      <c r="AA412" s="140">
        <v>30</v>
      </c>
      <c r="AB412" s="146" t="s">
        <v>70</v>
      </c>
    </row>
    <row r="413" spans="24:28" x14ac:dyDescent="0.2">
      <c r="X413">
        <v>404</v>
      </c>
      <c r="Y413" s="140">
        <v>1816</v>
      </c>
      <c r="Z413" s="146" t="s">
        <v>483</v>
      </c>
      <c r="AA413" s="140">
        <v>28</v>
      </c>
      <c r="AB413" s="146" t="s">
        <v>70</v>
      </c>
    </row>
    <row r="414" spans="24:28" x14ac:dyDescent="0.2">
      <c r="X414">
        <v>405</v>
      </c>
      <c r="Y414" s="140">
        <v>1417</v>
      </c>
      <c r="Z414" s="146" t="s">
        <v>484</v>
      </c>
      <c r="AA414" s="140">
        <v>24</v>
      </c>
      <c r="AB414" s="146" t="s">
        <v>86</v>
      </c>
    </row>
    <row r="415" spans="24:28" x14ac:dyDescent="0.2">
      <c r="X415">
        <v>406</v>
      </c>
      <c r="Y415" s="140">
        <v>1750</v>
      </c>
      <c r="Z415" s="146" t="s">
        <v>485</v>
      </c>
      <c r="AA415" s="140">
        <v>30</v>
      </c>
      <c r="AB415" s="146" t="s">
        <v>158</v>
      </c>
    </row>
    <row r="416" spans="24:28" x14ac:dyDescent="0.2">
      <c r="X416">
        <v>407</v>
      </c>
      <c r="Y416" s="140">
        <v>1154</v>
      </c>
      <c r="Z416" s="146" t="s">
        <v>486</v>
      </c>
      <c r="AA416" s="140">
        <v>24</v>
      </c>
      <c r="AB416" s="146" t="s">
        <v>114</v>
      </c>
    </row>
    <row r="417" spans="24:28" x14ac:dyDescent="0.2">
      <c r="X417">
        <v>408</v>
      </c>
      <c r="Y417" s="140">
        <v>834</v>
      </c>
      <c r="Z417" s="146" t="s">
        <v>487</v>
      </c>
      <c r="AA417" s="140">
        <v>24</v>
      </c>
      <c r="AB417" s="146" t="s">
        <v>104</v>
      </c>
    </row>
    <row r="418" spans="24:28" x14ac:dyDescent="0.2">
      <c r="X418">
        <v>409</v>
      </c>
      <c r="Y418" s="140">
        <v>1519</v>
      </c>
      <c r="Z418" s="146" t="s">
        <v>488</v>
      </c>
      <c r="AA418" s="140">
        <v>28</v>
      </c>
      <c r="AB418" s="146" t="s">
        <v>92</v>
      </c>
    </row>
    <row r="419" spans="24:28" x14ac:dyDescent="0.2">
      <c r="X419">
        <v>410</v>
      </c>
      <c r="Y419" s="140">
        <v>1235</v>
      </c>
      <c r="Z419" s="146" t="s">
        <v>489</v>
      </c>
      <c r="AA419" s="140">
        <v>24</v>
      </c>
      <c r="AB419" s="146" t="s">
        <v>88</v>
      </c>
    </row>
    <row r="420" spans="24:28" x14ac:dyDescent="0.2">
      <c r="X420">
        <v>411</v>
      </c>
      <c r="Y420" s="140">
        <v>1857</v>
      </c>
      <c r="Z420" s="146" t="s">
        <v>490</v>
      </c>
      <c r="AA420" s="140">
        <v>31</v>
      </c>
      <c r="AB420" s="146" t="s">
        <v>70</v>
      </c>
    </row>
    <row r="421" spans="24:28" x14ac:dyDescent="0.2">
      <c r="X421">
        <v>412</v>
      </c>
      <c r="Y421" s="140">
        <v>1865</v>
      </c>
      <c r="Z421" s="146" t="s">
        <v>491</v>
      </c>
      <c r="AA421" s="140">
        <v>29</v>
      </c>
      <c r="AB421" s="146" t="s">
        <v>70</v>
      </c>
    </row>
    <row r="422" spans="24:28" x14ac:dyDescent="0.2">
      <c r="X422">
        <v>413</v>
      </c>
      <c r="Y422" s="140">
        <v>1439</v>
      </c>
      <c r="Z422" s="146" t="s">
        <v>492</v>
      </c>
      <c r="AA422" s="140">
        <v>31</v>
      </c>
      <c r="AB422" s="146" t="s">
        <v>86</v>
      </c>
    </row>
    <row r="423" spans="24:28" x14ac:dyDescent="0.2">
      <c r="X423">
        <v>414</v>
      </c>
      <c r="Y423" s="140">
        <v>515</v>
      </c>
      <c r="Z423" s="146" t="s">
        <v>493</v>
      </c>
      <c r="AA423" s="140">
        <v>23</v>
      </c>
      <c r="AB423" s="146" t="s">
        <v>128</v>
      </c>
    </row>
    <row r="424" spans="24:28" x14ac:dyDescent="0.2">
      <c r="X424">
        <v>415</v>
      </c>
      <c r="Y424" s="140">
        <v>716</v>
      </c>
      <c r="Z424" s="146" t="s">
        <v>494</v>
      </c>
      <c r="AA424" s="140">
        <v>23</v>
      </c>
      <c r="AB424" s="146" t="s">
        <v>76</v>
      </c>
    </row>
    <row r="425" spans="24:28" x14ac:dyDescent="0.2">
      <c r="X425">
        <v>416</v>
      </c>
      <c r="Y425" s="140">
        <v>137</v>
      </c>
      <c r="Z425" s="146" t="s">
        <v>495</v>
      </c>
      <c r="AA425" s="140">
        <v>24</v>
      </c>
      <c r="AB425" s="146" t="s">
        <v>79</v>
      </c>
    </row>
    <row r="426" spans="24:28" x14ac:dyDescent="0.2">
      <c r="X426">
        <v>417</v>
      </c>
      <c r="Y426" s="140">
        <v>426</v>
      </c>
      <c r="Z426" s="146" t="s">
        <v>495</v>
      </c>
      <c r="AA426" s="140">
        <v>22</v>
      </c>
      <c r="AB426" s="146" t="s">
        <v>74</v>
      </c>
    </row>
    <row r="427" spans="24:28" x14ac:dyDescent="0.2">
      <c r="X427">
        <v>418</v>
      </c>
      <c r="Y427" s="140">
        <v>1868</v>
      </c>
      <c r="Z427" s="146" t="s">
        <v>496</v>
      </c>
      <c r="AA427" s="140">
        <v>29</v>
      </c>
      <c r="AB427" s="146" t="s">
        <v>70</v>
      </c>
    </row>
    <row r="428" spans="24:28" x14ac:dyDescent="0.2">
      <c r="X428">
        <v>419</v>
      </c>
      <c r="Y428" s="140">
        <v>1214</v>
      </c>
      <c r="Z428" s="146" t="s">
        <v>497</v>
      </c>
      <c r="AA428" s="140">
        <v>26</v>
      </c>
      <c r="AB428" s="146" t="s">
        <v>88</v>
      </c>
    </row>
    <row r="429" spans="24:28" x14ac:dyDescent="0.2">
      <c r="X429">
        <v>420</v>
      </c>
      <c r="Y429" s="140">
        <v>1621</v>
      </c>
      <c r="Z429" s="146" t="s">
        <v>498</v>
      </c>
      <c r="AA429" s="140">
        <v>30</v>
      </c>
      <c r="AB429" s="146" t="s">
        <v>68</v>
      </c>
    </row>
    <row r="430" spans="24:28" x14ac:dyDescent="0.2">
      <c r="X430">
        <v>421</v>
      </c>
      <c r="Y430" s="140">
        <v>1523</v>
      </c>
      <c r="Z430" s="146" t="s">
        <v>499</v>
      </c>
      <c r="AA430" s="140">
        <v>28</v>
      </c>
      <c r="AB430" s="146" t="s">
        <v>92</v>
      </c>
    </row>
    <row r="431" spans="24:28" x14ac:dyDescent="0.2">
      <c r="X431">
        <v>422</v>
      </c>
      <c r="Y431" s="140">
        <v>1520</v>
      </c>
      <c r="Z431" s="146" t="s">
        <v>500</v>
      </c>
      <c r="AA431" s="140">
        <v>28</v>
      </c>
      <c r="AB431" s="146" t="s">
        <v>92</v>
      </c>
    </row>
    <row r="432" spans="24:28" x14ac:dyDescent="0.2">
      <c r="X432">
        <v>423</v>
      </c>
      <c r="Y432" s="140">
        <v>528</v>
      </c>
      <c r="Z432" s="146" t="s">
        <v>501</v>
      </c>
      <c r="AA432" s="140">
        <v>22</v>
      </c>
      <c r="AB432" s="146" t="s">
        <v>128</v>
      </c>
    </row>
    <row r="433" spans="24:28" x14ac:dyDescent="0.2">
      <c r="X433">
        <v>424</v>
      </c>
      <c r="Y433" s="140">
        <v>624</v>
      </c>
      <c r="Z433" s="146" t="s">
        <v>502</v>
      </c>
      <c r="AA433" s="140">
        <v>22</v>
      </c>
      <c r="AB433" s="146" t="s">
        <v>130</v>
      </c>
    </row>
    <row r="434" spans="24:28" x14ac:dyDescent="0.2">
      <c r="X434">
        <v>425</v>
      </c>
      <c r="Y434" s="140">
        <v>521</v>
      </c>
      <c r="Z434" s="146" t="s">
        <v>503</v>
      </c>
      <c r="AA434" s="140">
        <v>22</v>
      </c>
      <c r="AB434" s="146" t="s">
        <v>128</v>
      </c>
    </row>
    <row r="435" spans="24:28" x14ac:dyDescent="0.2">
      <c r="X435">
        <v>426</v>
      </c>
      <c r="Y435" s="140">
        <v>1259</v>
      </c>
      <c r="Z435" s="146" t="s">
        <v>504</v>
      </c>
      <c r="AA435" s="140">
        <v>29</v>
      </c>
      <c r="AB435" s="146" t="s">
        <v>88</v>
      </c>
    </row>
    <row r="436" spans="24:28" x14ac:dyDescent="0.2">
      <c r="X436">
        <v>427</v>
      </c>
      <c r="Y436" s="140">
        <v>544</v>
      </c>
      <c r="Z436" s="146" t="s">
        <v>505</v>
      </c>
      <c r="AA436" s="140">
        <v>22</v>
      </c>
      <c r="AB436" s="146" t="s">
        <v>128</v>
      </c>
    </row>
    <row r="437" spans="24:28" x14ac:dyDescent="0.2">
      <c r="X437">
        <v>428</v>
      </c>
      <c r="Y437" s="140">
        <v>1630</v>
      </c>
      <c r="Z437" s="146" t="s">
        <v>506</v>
      </c>
      <c r="AA437" s="140">
        <v>29</v>
      </c>
      <c r="AB437" s="146" t="s">
        <v>68</v>
      </c>
    </row>
    <row r="438" spans="24:28" x14ac:dyDescent="0.2">
      <c r="X438">
        <v>429</v>
      </c>
      <c r="Y438" s="140">
        <v>619</v>
      </c>
      <c r="Z438" s="146" t="s">
        <v>507</v>
      </c>
      <c r="AA438" s="140">
        <v>24</v>
      </c>
      <c r="AB438" s="146" t="s">
        <v>130</v>
      </c>
    </row>
    <row r="439" spans="24:28" x14ac:dyDescent="0.2">
      <c r="X439">
        <v>430</v>
      </c>
      <c r="Y439" s="140">
        <v>1504</v>
      </c>
      <c r="Z439" s="146" t="s">
        <v>508</v>
      </c>
      <c r="AA439" s="140">
        <v>29</v>
      </c>
      <c r="AB439" s="146" t="s">
        <v>92</v>
      </c>
    </row>
    <row r="440" spans="24:28" x14ac:dyDescent="0.2">
      <c r="X440">
        <v>431</v>
      </c>
      <c r="Y440" s="140">
        <v>929</v>
      </c>
      <c r="Z440" s="146" t="s">
        <v>509</v>
      </c>
      <c r="AA440" s="140">
        <v>24</v>
      </c>
      <c r="AB440" s="146" t="s">
        <v>81</v>
      </c>
    </row>
    <row r="441" spans="24:28" x14ac:dyDescent="0.2">
      <c r="X441">
        <v>432</v>
      </c>
      <c r="Y441" s="140">
        <v>429</v>
      </c>
      <c r="Z441" s="146" t="s">
        <v>510</v>
      </c>
      <c r="AA441" s="140">
        <v>22</v>
      </c>
      <c r="AB441" s="146" t="s">
        <v>74</v>
      </c>
    </row>
    <row r="442" spans="24:28" x14ac:dyDescent="0.2">
      <c r="X442">
        <v>433</v>
      </c>
      <c r="Y442" s="140">
        <v>1424</v>
      </c>
      <c r="Z442" s="146" t="s">
        <v>511</v>
      </c>
      <c r="AA442" s="140">
        <v>24</v>
      </c>
      <c r="AB442" s="146" t="s">
        <v>86</v>
      </c>
    </row>
    <row r="443" spans="24:28" x14ac:dyDescent="0.2">
      <c r="X443">
        <v>434</v>
      </c>
      <c r="Y443" s="140">
        <v>214</v>
      </c>
      <c r="Z443" s="146" t="s">
        <v>512</v>
      </c>
      <c r="AA443" s="140">
        <v>22</v>
      </c>
      <c r="AB443" s="146" t="s">
        <v>83</v>
      </c>
    </row>
    <row r="444" spans="24:28" x14ac:dyDescent="0.2">
      <c r="X444">
        <v>435</v>
      </c>
      <c r="Y444" s="140">
        <v>1026</v>
      </c>
      <c r="Z444" s="146" t="s">
        <v>513</v>
      </c>
      <c r="AA444" s="140">
        <v>24</v>
      </c>
      <c r="AB444" s="146" t="s">
        <v>90</v>
      </c>
    </row>
    <row r="445" spans="24:28" x14ac:dyDescent="0.2">
      <c r="X445">
        <v>436</v>
      </c>
      <c r="Y445" s="140">
        <v>425</v>
      </c>
      <c r="Z445" s="146" t="s">
        <v>514</v>
      </c>
      <c r="AA445" s="140">
        <v>22</v>
      </c>
      <c r="AB445" s="146" t="s">
        <v>74</v>
      </c>
    </row>
  </sheetData>
  <sheetProtection algorithmName="SHA-512" hashValue="mOyVZp5KpHw0Z4zNsIPLA2DyrfAike023qw+u9M95kHnHe5oQ5MCX1EgSdOInuRGyDG4F4/zMLngoaPhwo/ORg==" saltValue="zpDhqQBw+UKlboyUKN+HXg==" spinCount="100000" sheet="1" objects="1" scenarios="1" selectLockedCells="1"/>
  <phoneticPr fontId="0" type="noConversion"/>
  <conditionalFormatting sqref="B31:C31">
    <cfRule type="expression" dxfId="28" priority="9" stopIfTrue="1">
      <formula>OR($O$22=1,$O$22=2,$O$22=3,$O$22=4)</formula>
    </cfRule>
    <cfRule type="expression" dxfId="27" priority="10" stopIfTrue="1">
      <formula>OR($O$22)</formula>
    </cfRule>
  </conditionalFormatting>
  <conditionalFormatting sqref="B33:C33">
    <cfRule type="expression" dxfId="26" priority="5" stopIfTrue="1">
      <formula>OR($O$22=2,$O$22=3)</formula>
    </cfRule>
    <cfRule type="expression" dxfId="25" priority="6" stopIfTrue="1">
      <formula>OR($O$22=1,$O$22=4,$O$22=5)</formula>
    </cfRule>
  </conditionalFormatting>
  <conditionalFormatting sqref="B34:C34">
    <cfRule type="expression" dxfId="24" priority="7" stopIfTrue="1">
      <formula>OR($O$22=4,$O$22=5)</formula>
    </cfRule>
    <cfRule type="expression" dxfId="23" priority="8" stopIfTrue="1">
      <formula>OR($O$22=1,$O$22=2,$O$22=3)</formula>
    </cfRule>
  </conditionalFormatting>
  <conditionalFormatting sqref="E30">
    <cfRule type="expression" dxfId="22" priority="1" stopIfTrue="1">
      <formula>OR($O$22=1,$O$22=2,$O$22=3,$O$22=4)</formula>
    </cfRule>
    <cfRule type="expression" dxfId="21" priority="2" stopIfTrue="1">
      <formula>OR($O$22=5)</formula>
    </cfRule>
  </conditionalFormatting>
  <conditionalFormatting sqref="E33:G34">
    <cfRule type="expression" dxfId="20" priority="3" stopIfTrue="1">
      <formula>OR($O$22=3)</formula>
    </cfRule>
    <cfRule type="expression" dxfId="19" priority="4" stopIfTrue="1">
      <formula>OR($O$22=1,$O$22=2,$O$22=4,$O$22=5)</formula>
    </cfRule>
  </conditionalFormatting>
  <conditionalFormatting sqref="G28">
    <cfRule type="expression" dxfId="18" priority="11" stopIfTrue="1">
      <formula>OR(G28&lt;0)</formula>
    </cfRule>
    <cfRule type="expression" dxfId="17" priority="12" stopIfTrue="1">
      <formula>OR(G28&gt;=0)</formula>
    </cfRule>
  </conditionalFormatting>
  <pageMargins left="0.78740157499999996" right="0.78740157499999996" top="0.984251969" bottom="0.984251969" header="0.5" footer="0.5"/>
  <pageSetup paperSize="9" orientation="portrait" r:id="rId1"/>
  <headerFooter alignWithMargins="0"/>
  <cellWatches>
    <cellWatch r="G31"/>
  </cellWatches>
  <drawing r:id="rId2"/>
  <legacyDrawing r:id="rId3"/>
  <mc:AlternateContent xmlns:mc="http://schemas.openxmlformats.org/markup-compatibility/2006">
    <mc:Choice Requires="x14">
      <controls>
        <mc:AlternateContent xmlns:mc="http://schemas.openxmlformats.org/markup-compatibility/2006">
          <mc:Choice Requires="x14">
            <control shapeId="4097" r:id="rId4" name="Group Box 1">
              <controlPr defaultSize="0" autoFill="0" autoPict="0">
                <anchor moveWithCells="1">
                  <from>
                    <xdr:col>0</xdr:col>
                    <xdr:colOff>590550</xdr:colOff>
                    <xdr:row>9</xdr:row>
                    <xdr:rowOff>0</xdr:rowOff>
                  </from>
                  <to>
                    <xdr:col>7</xdr:col>
                    <xdr:colOff>152400</xdr:colOff>
                    <xdr:row>17</xdr:row>
                    <xdr:rowOff>38100</xdr:rowOff>
                  </to>
                </anchor>
              </controlPr>
            </control>
          </mc:Choice>
        </mc:AlternateContent>
        <mc:AlternateContent xmlns:mc="http://schemas.openxmlformats.org/markup-compatibility/2006">
          <mc:Choice Requires="x14">
            <control shapeId="4101" r:id="rId5" name="Group Box 5">
              <controlPr defaultSize="0" autoFill="0" autoPict="0">
                <anchor moveWithCells="1">
                  <from>
                    <xdr:col>0</xdr:col>
                    <xdr:colOff>609600</xdr:colOff>
                    <xdr:row>0</xdr:row>
                    <xdr:rowOff>152400</xdr:rowOff>
                  </from>
                  <to>
                    <xdr:col>7</xdr:col>
                    <xdr:colOff>152400</xdr:colOff>
                    <xdr:row>7</xdr:row>
                    <xdr:rowOff>133350</xdr:rowOff>
                  </to>
                </anchor>
              </controlPr>
            </control>
          </mc:Choice>
        </mc:AlternateContent>
        <mc:AlternateContent xmlns:mc="http://schemas.openxmlformats.org/markup-compatibility/2006">
          <mc:Choice Requires="x14">
            <control shapeId="4102" r:id="rId6" name="Group Box 6">
              <controlPr defaultSize="0" autoFill="0" autoPict="0">
                <anchor moveWithCells="1">
                  <from>
                    <xdr:col>0</xdr:col>
                    <xdr:colOff>590550</xdr:colOff>
                    <xdr:row>18</xdr:row>
                    <xdr:rowOff>85725</xdr:rowOff>
                  </from>
                  <to>
                    <xdr:col>7</xdr:col>
                    <xdr:colOff>152400</xdr:colOff>
                    <xdr:row>35</xdr:row>
                    <xdr:rowOff>66675</xdr:rowOff>
                  </to>
                </anchor>
              </controlPr>
            </control>
          </mc:Choice>
        </mc:AlternateContent>
        <mc:AlternateContent xmlns:mc="http://schemas.openxmlformats.org/markup-compatibility/2006">
          <mc:Choice Requires="x14">
            <control shapeId="4111" r:id="rId7" name="Option Button 15">
              <controlPr defaultSize="0" autoFill="0" autoLine="0" autoPict="0">
                <anchor moveWithCells="1">
                  <from>
                    <xdr:col>0</xdr:col>
                    <xdr:colOff>752475</xdr:colOff>
                    <xdr:row>19</xdr:row>
                    <xdr:rowOff>123825</xdr:rowOff>
                  </from>
                  <to>
                    <xdr:col>1</xdr:col>
                    <xdr:colOff>1895475</xdr:colOff>
                    <xdr:row>21</xdr:row>
                    <xdr:rowOff>19050</xdr:rowOff>
                  </to>
                </anchor>
              </controlPr>
            </control>
          </mc:Choice>
        </mc:AlternateContent>
        <mc:AlternateContent xmlns:mc="http://schemas.openxmlformats.org/markup-compatibility/2006">
          <mc:Choice Requires="x14">
            <control shapeId="4112" r:id="rId8" name="Option Button 16">
              <controlPr defaultSize="0" autoFill="0" autoLine="0" autoPict="0">
                <anchor moveWithCells="1">
                  <from>
                    <xdr:col>0</xdr:col>
                    <xdr:colOff>752475</xdr:colOff>
                    <xdr:row>21</xdr:row>
                    <xdr:rowOff>95250</xdr:rowOff>
                  </from>
                  <to>
                    <xdr:col>1</xdr:col>
                    <xdr:colOff>1895475</xdr:colOff>
                    <xdr:row>22</xdr:row>
                    <xdr:rowOff>152400</xdr:rowOff>
                  </to>
                </anchor>
              </controlPr>
            </control>
          </mc:Choice>
        </mc:AlternateContent>
        <mc:AlternateContent xmlns:mc="http://schemas.openxmlformats.org/markup-compatibility/2006">
          <mc:Choice Requires="x14">
            <control shapeId="4113" r:id="rId9" name="Option Button 17">
              <controlPr defaultSize="0" autoFill="0" autoLine="0" autoPict="0">
                <anchor moveWithCells="1">
                  <from>
                    <xdr:col>0</xdr:col>
                    <xdr:colOff>752475</xdr:colOff>
                    <xdr:row>23</xdr:row>
                    <xdr:rowOff>66675</xdr:rowOff>
                  </from>
                  <to>
                    <xdr:col>1</xdr:col>
                    <xdr:colOff>1895475</xdr:colOff>
                    <xdr:row>24</xdr:row>
                    <xdr:rowOff>123825</xdr:rowOff>
                  </to>
                </anchor>
              </controlPr>
            </control>
          </mc:Choice>
        </mc:AlternateContent>
        <mc:AlternateContent xmlns:mc="http://schemas.openxmlformats.org/markup-compatibility/2006">
          <mc:Choice Requires="x14">
            <control shapeId="4114" r:id="rId10" name="Option Button 18">
              <controlPr defaultSize="0" autoFill="0" autoLine="0" autoPict="0">
                <anchor moveWithCells="1">
                  <from>
                    <xdr:col>0</xdr:col>
                    <xdr:colOff>752475</xdr:colOff>
                    <xdr:row>25</xdr:row>
                    <xdr:rowOff>47625</xdr:rowOff>
                  </from>
                  <to>
                    <xdr:col>1</xdr:col>
                    <xdr:colOff>1895475</xdr:colOff>
                    <xdr:row>26</xdr:row>
                    <xdr:rowOff>104775</xdr:rowOff>
                  </to>
                </anchor>
              </controlPr>
            </control>
          </mc:Choice>
        </mc:AlternateContent>
        <mc:AlternateContent xmlns:mc="http://schemas.openxmlformats.org/markup-compatibility/2006">
          <mc:Choice Requires="x14">
            <control shapeId="4117" r:id="rId11" name="Option Button 21">
              <controlPr defaultSize="0" autoFill="0" autoLine="0" autoPict="0">
                <anchor moveWithCells="1">
                  <from>
                    <xdr:col>0</xdr:col>
                    <xdr:colOff>752475</xdr:colOff>
                    <xdr:row>27</xdr:row>
                    <xdr:rowOff>19050</xdr:rowOff>
                  </from>
                  <to>
                    <xdr:col>1</xdr:col>
                    <xdr:colOff>1895475</xdr:colOff>
                    <xdr:row>28</xdr:row>
                    <xdr:rowOff>76200</xdr:rowOff>
                  </to>
                </anchor>
              </controlPr>
            </control>
          </mc:Choice>
        </mc:AlternateContent>
        <mc:AlternateContent xmlns:mc="http://schemas.openxmlformats.org/markup-compatibility/2006">
          <mc:Choice Requires="x14">
            <control shapeId="4261" r:id="rId12" name="Group Box 165">
              <controlPr defaultSize="0" autoFill="0" autoPict="0">
                <anchor moveWithCells="1">
                  <from>
                    <xdr:col>0</xdr:col>
                    <xdr:colOff>590550</xdr:colOff>
                    <xdr:row>36</xdr:row>
                    <xdr:rowOff>76200</xdr:rowOff>
                  </from>
                  <to>
                    <xdr:col>8</xdr:col>
                    <xdr:colOff>723900</xdr:colOff>
                    <xdr:row>48</xdr:row>
                    <xdr:rowOff>0</xdr:rowOff>
                  </to>
                </anchor>
              </controlPr>
            </control>
          </mc:Choice>
        </mc:AlternateContent>
        <mc:AlternateContent xmlns:mc="http://schemas.openxmlformats.org/markup-compatibility/2006">
          <mc:Choice Requires="x14">
            <control shapeId="4262" r:id="rId13" name="Group Box 166">
              <controlPr defaultSize="0" autoFill="0" autoPict="0">
                <anchor moveWithCells="1">
                  <from>
                    <xdr:col>0</xdr:col>
                    <xdr:colOff>590550</xdr:colOff>
                    <xdr:row>49</xdr:row>
                    <xdr:rowOff>47625</xdr:rowOff>
                  </from>
                  <to>
                    <xdr:col>12</xdr:col>
                    <xdr:colOff>295275</xdr:colOff>
                    <xdr:row>62</xdr:row>
                    <xdr:rowOff>152400</xdr:rowOff>
                  </to>
                </anchor>
              </controlPr>
            </control>
          </mc:Choice>
        </mc:AlternateContent>
        <mc:AlternateContent xmlns:mc="http://schemas.openxmlformats.org/markup-compatibility/2006">
          <mc:Choice Requires="x14">
            <control shapeId="4264" r:id="rId14" name="Group Box 168">
              <controlPr defaultSize="0" autoFill="0" autoPict="0">
                <anchor moveWithCells="1">
                  <from>
                    <xdr:col>0</xdr:col>
                    <xdr:colOff>590550</xdr:colOff>
                    <xdr:row>64</xdr:row>
                    <xdr:rowOff>104775</xdr:rowOff>
                  </from>
                  <to>
                    <xdr:col>12</xdr:col>
                    <xdr:colOff>285750</xdr:colOff>
                    <xdr:row>78</xdr:row>
                    <xdr:rowOff>47625</xdr:rowOff>
                  </to>
                </anchor>
              </controlPr>
            </control>
          </mc:Choice>
        </mc:AlternateContent>
        <mc:AlternateContent xmlns:mc="http://schemas.openxmlformats.org/markup-compatibility/2006">
          <mc:Choice Requires="x14">
            <control shapeId="4265" r:id="rId15" name="Group Box 169">
              <controlPr defaultSize="0" autoFill="0" autoPict="0">
                <anchor moveWithCells="1">
                  <from>
                    <xdr:col>0</xdr:col>
                    <xdr:colOff>590550</xdr:colOff>
                    <xdr:row>80</xdr:row>
                    <xdr:rowOff>19050</xdr:rowOff>
                  </from>
                  <to>
                    <xdr:col>12</xdr:col>
                    <xdr:colOff>276225</xdr:colOff>
                    <xdr:row>93</xdr:row>
                    <xdr:rowOff>123825</xdr:rowOff>
                  </to>
                </anchor>
              </controlPr>
            </control>
          </mc:Choice>
        </mc:AlternateContent>
        <mc:AlternateContent xmlns:mc="http://schemas.openxmlformats.org/markup-compatibility/2006">
          <mc:Choice Requires="x14">
            <control shapeId="4266" r:id="rId16" name="Group Box 170">
              <controlPr defaultSize="0" autoFill="0" autoPict="0">
                <anchor moveWithCells="1">
                  <from>
                    <xdr:col>0</xdr:col>
                    <xdr:colOff>590550</xdr:colOff>
                    <xdr:row>95</xdr:row>
                    <xdr:rowOff>133350</xdr:rowOff>
                  </from>
                  <to>
                    <xdr:col>8</xdr:col>
                    <xdr:colOff>723900</xdr:colOff>
                    <xdr:row>115</xdr:row>
                    <xdr:rowOff>38100</xdr:rowOff>
                  </to>
                </anchor>
              </controlPr>
            </control>
          </mc:Choice>
        </mc:AlternateContent>
        <mc:AlternateContent xmlns:mc="http://schemas.openxmlformats.org/markup-compatibility/2006">
          <mc:Choice Requires="x14">
            <control shapeId="4552" r:id="rId17" name="Drop Down 456">
              <controlPr defaultSize="0" autoLine="0" autoPict="0">
                <anchor moveWithCells="1">
                  <from>
                    <xdr:col>1</xdr:col>
                    <xdr:colOff>0</xdr:colOff>
                    <xdr:row>12</xdr:row>
                    <xdr:rowOff>104775</xdr:rowOff>
                  </from>
                  <to>
                    <xdr:col>1</xdr:col>
                    <xdr:colOff>1952625</xdr:colOff>
                    <xdr:row>14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B2:O32"/>
  <sheetViews>
    <sheetView showGridLines="0" workbookViewId="0">
      <selection activeCell="E19" sqref="E19"/>
    </sheetView>
  </sheetViews>
  <sheetFormatPr defaultColWidth="11.42578125" defaultRowHeight="12.75" x14ac:dyDescent="0.2"/>
  <cols>
    <col min="1" max="10" width="11.42578125" style="5" customWidth="1"/>
    <col min="11" max="15" width="11.42578125" style="5" hidden="1" customWidth="1"/>
    <col min="16" max="16384" width="11.42578125" style="5"/>
  </cols>
  <sheetData>
    <row r="2" spans="2:11" x14ac:dyDescent="0.2">
      <c r="K2" s="3">
        <v>1</v>
      </c>
    </row>
    <row r="12" spans="2:11" ht="14.25" customHeight="1" x14ac:dyDescent="0.2"/>
    <row r="13" spans="2:11" x14ac:dyDescent="0.2">
      <c r="B13" s="11" t="s">
        <v>521</v>
      </c>
      <c r="C13" s="11" t="s">
        <v>0</v>
      </c>
      <c r="D13" s="11" t="s">
        <v>1</v>
      </c>
      <c r="E13" s="11" t="s">
        <v>2</v>
      </c>
    </row>
    <row r="14" spans="2:11" x14ac:dyDescent="0.2">
      <c r="B14" s="11" t="str">
        <f>IF(K2-1=0,"0",IF(K2-1=1,"I",IF(K2-1=2,"II",IF(K2-1=3,"III","IV"))))</f>
        <v>0</v>
      </c>
      <c r="C14" s="11">
        <f>IF(K2=1, 0.16, IF(K2=2, 0.17, IF(K2=3, 0.19, IF(K2=4, 0.22, 0.24))))</f>
        <v>0.16</v>
      </c>
      <c r="D14" s="11">
        <f>IF(K2=1, 0.003, IF(K2=2, 0.01, IF(K2=3, 0.05, IF(K2=4, 0.3, 1))))</f>
        <v>3.0000000000000001E-3</v>
      </c>
      <c r="E14" s="11">
        <f>IF(K2=1, 2, IF(K2=2, 2, IF(K2=3, 4, IF(K2=4, 8, 16))))</f>
        <v>2</v>
      </c>
    </row>
    <row r="17" spans="2:15" x14ac:dyDescent="0.2">
      <c r="G17" s="20"/>
      <c r="K17" s="3">
        <v>1</v>
      </c>
    </row>
    <row r="18" spans="2:15" ht="25.5" x14ac:dyDescent="0.2">
      <c r="E18" s="29" t="s">
        <v>16</v>
      </c>
      <c r="F18" s="29" t="s">
        <v>14</v>
      </c>
      <c r="G18" s="29" t="s">
        <v>15</v>
      </c>
      <c r="H18" s="30" t="s">
        <v>522</v>
      </c>
      <c r="I18" s="30" t="s">
        <v>523</v>
      </c>
      <c r="M18" s="29" t="s">
        <v>16</v>
      </c>
      <c r="N18" s="29" t="s">
        <v>14</v>
      </c>
      <c r="O18" s="29" t="s">
        <v>15</v>
      </c>
    </row>
    <row r="19" spans="2:15" x14ac:dyDescent="0.2">
      <c r="E19" s="1"/>
      <c r="F19" s="1"/>
      <c r="G19" s="1"/>
      <c r="H19" s="31">
        <f>IF(K17=1, 0, DEGREES(ATAN(M20/(2*N20))))</f>
        <v>0</v>
      </c>
      <c r="I19" s="32">
        <f>IF(K17=1,0,IF(M20/N20&gt;0.5, 0.5, M20/N20))</f>
        <v>0</v>
      </c>
    </row>
    <row r="20" spans="2:15" x14ac:dyDescent="0.2">
      <c r="M20" s="33">
        <f>IF(K17=1,0,ABS(E19))</f>
        <v>0</v>
      </c>
      <c r="N20" s="34">
        <f>IF(K17=1,0,IF(F19=0,ABS(2*M20),ABS(F19)))</f>
        <v>0</v>
      </c>
      <c r="O20" s="35">
        <f>IF(K17=1,0,ABS(G19))</f>
        <v>0</v>
      </c>
    </row>
    <row r="22" spans="2:15" x14ac:dyDescent="0.2">
      <c r="K22" s="28">
        <f>IF(K2=2,1,IF(K2=3,1,0))</f>
        <v>0</v>
      </c>
    </row>
    <row r="23" spans="2:15" x14ac:dyDescent="0.2">
      <c r="K23" s="36">
        <f>IF(K17=5,IF(K22=1,IF(H19&gt;=30,IF(O20&lt;=10*M20,1,IF(O20&lt;=15*M20,2,0)),0),0),0)</f>
        <v>0</v>
      </c>
    </row>
    <row r="24" spans="2:15" x14ac:dyDescent="0.2">
      <c r="E24" s="11" t="s">
        <v>17</v>
      </c>
      <c r="F24" s="11" t="s">
        <v>3</v>
      </c>
      <c r="G24" s="11" t="s">
        <v>4</v>
      </c>
      <c r="H24" s="11" t="s">
        <v>5</v>
      </c>
      <c r="I24" s="11" t="s">
        <v>7</v>
      </c>
      <c r="K24" s="13"/>
    </row>
    <row r="25" spans="2:15" x14ac:dyDescent="0.2">
      <c r="E25" s="14">
        <f>IF(K17=1, 0, IF(K17=2, 1.8*I19, IF(K17=3, 1.8*I19, IF(K17=4,2*I19,0))))</f>
        <v>0</v>
      </c>
      <c r="F25" s="14">
        <f>IF(K17=1,0,IF(K17=2,2.5,IF(K17=3,2.5,IF(K17=4,3,0))))</f>
        <v>0</v>
      </c>
      <c r="G25" s="14">
        <f>IF(K17=1, 0, IF(K17=2, 1.5, IF(K17=3, 4, IF(K17=4,1.5,0))))</f>
        <v>0</v>
      </c>
      <c r="H25" s="14">
        <f>IF(K23=0,IF(O20&lt;G25*N20,1+E25*(1-O20/(G25*N20)),1),IF(K23=1,1,0.9))</f>
        <v>1</v>
      </c>
      <c r="I25" s="14">
        <f>IF(K23=0,1,1.75)</f>
        <v>1</v>
      </c>
    </row>
    <row r="29" spans="2:15" x14ac:dyDescent="0.2">
      <c r="K29" s="28">
        <f>IF(K17=2,1,IF(K17=3,1,IF(K17=4,1,IF(K17=5,2,IF(K17=6,1,0)))))</f>
        <v>0</v>
      </c>
    </row>
    <row r="30" spans="2:15" x14ac:dyDescent="0.2">
      <c r="B30" s="147" t="str">
        <f>IF(K29=1,"Mest presis beregning: Bruk kart og bestem H, LH og X.",IF(K29=2,"Bruk kart og bestem H, LH og X. Helning skal minst være 30°. Det må være fri sikt mellom bygg og topp.",""))</f>
        <v/>
      </c>
    </row>
    <row r="31" spans="2:15" x14ac:dyDescent="0.2">
      <c r="B31" s="147" t="str">
        <f>IF(K29=1,"Enklere og mer konservativ beregning: Bestem H og X, men sett LH lik null. LH beregnes da til 2 ganger H.",IF(K29=2,"Gjelder normalt kun for terr. kat. I og II, men også for III og IV i spesielle tilfeller der lokal kunnskap om terreng- og",""))</f>
        <v/>
      </c>
    </row>
    <row r="32" spans="2:15" x14ac:dyDescent="0.2">
      <c r="B32" s="147" t="str">
        <f>IF(K29=1,"Enklest og mest konservativ beregning: Bestem H, men sett LH og X lik null. LH beregnes da til 2 ganger H.",IF(K29=2,"værforhold krever det. For slike tilfeller settes allikevel terr. kat. til II av beregningsmessige grunner.",""))</f>
        <v/>
      </c>
    </row>
  </sheetData>
  <sheetProtection password="82FB" sheet="1" objects="1" scenarios="1" selectLockedCells="1"/>
  <phoneticPr fontId="0" type="noConversion"/>
  <conditionalFormatting sqref="E18:G18">
    <cfRule type="expression" dxfId="16" priority="1" stopIfTrue="1">
      <formula>OR($K$17=2, $K$17=3, $K$17=4, $K$17=5)</formula>
    </cfRule>
    <cfRule type="expression" dxfId="15" priority="2" stopIfTrue="1">
      <formula>OR($K$17=1)</formula>
    </cfRule>
  </conditionalFormatting>
  <conditionalFormatting sqref="E19:G19">
    <cfRule type="expression" dxfId="14" priority="3" stopIfTrue="1">
      <formula>OR($K$17=2, $K$17=3, $K$17=4, $K$17=5)</formula>
    </cfRule>
    <cfRule type="expression" dxfId="13" priority="4" stopIfTrue="1">
      <formula>OR($K$17=1)</formula>
    </cfRule>
  </conditionalFormatting>
  <conditionalFormatting sqref="H18:I19">
    <cfRule type="expression" dxfId="12" priority="5" stopIfTrue="1">
      <formula>OR($K$17=2, $K$17=3, $K$17=4, $K$17=5)</formula>
    </cfRule>
    <cfRule type="expression" dxfId="11" priority="6" stopIfTrue="1">
      <formula>OR($K$17)</formula>
    </cfRule>
  </conditionalFormatting>
  <pageMargins left="0.78740157499999996" right="0.78740157499999996" top="0.984251969" bottom="0.984251969" header="0.5" footer="0.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Group Box 1">
              <controlPr defaultSize="0" autoFill="0" autoPict="0">
                <anchor moveWithCells="1">
                  <from>
                    <xdr:col>0</xdr:col>
                    <xdr:colOff>542925</xdr:colOff>
                    <xdr:row>1</xdr:row>
                    <xdr:rowOff>19050</xdr:rowOff>
                  </from>
                  <to>
                    <xdr:col>9</xdr:col>
                    <xdr:colOff>333375</xdr:colOff>
                    <xdr:row>14</xdr:row>
                    <xdr:rowOff>85725</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1</xdr:col>
                    <xdr:colOff>9525</xdr:colOff>
                    <xdr:row>2</xdr:row>
                    <xdr:rowOff>9525</xdr:rowOff>
                  </from>
                  <to>
                    <xdr:col>9</xdr:col>
                    <xdr:colOff>152400</xdr:colOff>
                    <xdr:row>3</xdr:row>
                    <xdr:rowOff>66675</xdr:rowOff>
                  </to>
                </anchor>
              </controlPr>
            </control>
          </mc:Choice>
        </mc:AlternateContent>
        <mc:AlternateContent xmlns:mc="http://schemas.openxmlformats.org/markup-compatibility/2006">
          <mc:Choice Requires="x14">
            <control shapeId="1027" r:id="rId6" name="Option Button 3">
              <controlPr defaultSize="0" autoFill="0" autoLine="0" autoPict="0">
                <anchor moveWithCells="1">
                  <from>
                    <xdr:col>1</xdr:col>
                    <xdr:colOff>9525</xdr:colOff>
                    <xdr:row>3</xdr:row>
                    <xdr:rowOff>133350</xdr:rowOff>
                  </from>
                  <to>
                    <xdr:col>9</xdr:col>
                    <xdr:colOff>152400</xdr:colOff>
                    <xdr:row>5</xdr:row>
                    <xdr:rowOff>28575</xdr:rowOff>
                  </to>
                </anchor>
              </controlPr>
            </control>
          </mc:Choice>
        </mc:AlternateContent>
        <mc:AlternateContent xmlns:mc="http://schemas.openxmlformats.org/markup-compatibility/2006">
          <mc:Choice Requires="x14">
            <control shapeId="1028" r:id="rId7" name="Option Button 4">
              <controlPr defaultSize="0" autoFill="0" autoLine="0" autoPict="0">
                <anchor moveWithCells="1">
                  <from>
                    <xdr:col>1</xdr:col>
                    <xdr:colOff>9525</xdr:colOff>
                    <xdr:row>5</xdr:row>
                    <xdr:rowOff>85725</xdr:rowOff>
                  </from>
                  <to>
                    <xdr:col>9</xdr:col>
                    <xdr:colOff>161925</xdr:colOff>
                    <xdr:row>7</xdr:row>
                    <xdr:rowOff>76200</xdr:rowOff>
                  </to>
                </anchor>
              </controlPr>
            </control>
          </mc:Choice>
        </mc:AlternateContent>
        <mc:AlternateContent xmlns:mc="http://schemas.openxmlformats.org/markup-compatibility/2006">
          <mc:Choice Requires="x14">
            <control shapeId="1029" r:id="rId8" name="Option Button 5">
              <controlPr defaultSize="0" autoFill="0" autoLine="0" autoPict="0">
                <anchor moveWithCells="1">
                  <from>
                    <xdr:col>1</xdr:col>
                    <xdr:colOff>0</xdr:colOff>
                    <xdr:row>7</xdr:row>
                    <xdr:rowOff>142875</xdr:rowOff>
                  </from>
                  <to>
                    <xdr:col>9</xdr:col>
                    <xdr:colOff>161925</xdr:colOff>
                    <xdr:row>9</xdr:row>
                    <xdr:rowOff>133350</xdr:rowOff>
                  </to>
                </anchor>
              </controlPr>
            </control>
          </mc:Choice>
        </mc:AlternateContent>
        <mc:AlternateContent xmlns:mc="http://schemas.openxmlformats.org/markup-compatibility/2006">
          <mc:Choice Requires="x14">
            <control shapeId="1030" r:id="rId9" name="Option Button 6">
              <controlPr defaultSize="0" autoFill="0" autoLine="0" autoPict="0">
                <anchor moveWithCells="1">
                  <from>
                    <xdr:col>1</xdr:col>
                    <xdr:colOff>9525</xdr:colOff>
                    <xdr:row>10</xdr:row>
                    <xdr:rowOff>38100</xdr:rowOff>
                  </from>
                  <to>
                    <xdr:col>9</xdr:col>
                    <xdr:colOff>152400</xdr:colOff>
                    <xdr:row>11</xdr:row>
                    <xdr:rowOff>95250</xdr:rowOff>
                  </to>
                </anchor>
              </controlPr>
            </control>
          </mc:Choice>
        </mc:AlternateContent>
        <mc:AlternateContent xmlns:mc="http://schemas.openxmlformats.org/markup-compatibility/2006">
          <mc:Choice Requires="x14">
            <control shapeId="1031" r:id="rId10" name="Group Box 7">
              <controlPr defaultSize="0" autoFill="0" autoPict="0">
                <anchor moveWithCells="1">
                  <from>
                    <xdr:col>0</xdr:col>
                    <xdr:colOff>542925</xdr:colOff>
                    <xdr:row>16</xdr:row>
                    <xdr:rowOff>0</xdr:rowOff>
                  </from>
                  <to>
                    <xdr:col>9</xdr:col>
                    <xdr:colOff>333375</xdr:colOff>
                    <xdr:row>26</xdr:row>
                    <xdr:rowOff>9525</xdr:rowOff>
                  </to>
                </anchor>
              </controlPr>
            </control>
          </mc:Choice>
        </mc:AlternateContent>
        <mc:AlternateContent xmlns:mc="http://schemas.openxmlformats.org/markup-compatibility/2006">
          <mc:Choice Requires="x14">
            <control shapeId="1032" r:id="rId11" name="Option Button 8">
              <controlPr defaultSize="0" autoFill="0" autoLine="0" autoPict="0">
                <anchor moveWithCells="1">
                  <from>
                    <xdr:col>1</xdr:col>
                    <xdr:colOff>9525</xdr:colOff>
                    <xdr:row>17</xdr:row>
                    <xdr:rowOff>9525</xdr:rowOff>
                  </from>
                  <to>
                    <xdr:col>3</xdr:col>
                    <xdr:colOff>352425</xdr:colOff>
                    <xdr:row>17</xdr:row>
                    <xdr:rowOff>228600</xdr:rowOff>
                  </to>
                </anchor>
              </controlPr>
            </control>
          </mc:Choice>
        </mc:AlternateContent>
        <mc:AlternateContent xmlns:mc="http://schemas.openxmlformats.org/markup-compatibility/2006">
          <mc:Choice Requires="x14">
            <control shapeId="1033" r:id="rId12" name="Option Button 9">
              <controlPr defaultSize="0" autoFill="0" autoLine="0" autoPict="0">
                <anchor moveWithCells="1">
                  <from>
                    <xdr:col>1</xdr:col>
                    <xdr:colOff>9525</xdr:colOff>
                    <xdr:row>19</xdr:row>
                    <xdr:rowOff>142875</xdr:rowOff>
                  </from>
                  <to>
                    <xdr:col>3</xdr:col>
                    <xdr:colOff>371475</xdr:colOff>
                    <xdr:row>21</xdr:row>
                    <xdr:rowOff>38100</xdr:rowOff>
                  </to>
                </anchor>
              </controlPr>
            </control>
          </mc:Choice>
        </mc:AlternateContent>
        <mc:AlternateContent xmlns:mc="http://schemas.openxmlformats.org/markup-compatibility/2006">
          <mc:Choice Requires="x14">
            <control shapeId="1034" r:id="rId13" name="Option Button 10">
              <controlPr defaultSize="0" autoFill="0" autoLine="0" autoPict="0">
                <anchor moveWithCells="1">
                  <from>
                    <xdr:col>1</xdr:col>
                    <xdr:colOff>9525</xdr:colOff>
                    <xdr:row>18</xdr:row>
                    <xdr:rowOff>9525</xdr:rowOff>
                  </from>
                  <to>
                    <xdr:col>3</xdr:col>
                    <xdr:colOff>361950</xdr:colOff>
                    <xdr:row>19</xdr:row>
                    <xdr:rowOff>66675</xdr:rowOff>
                  </to>
                </anchor>
              </controlPr>
            </control>
          </mc:Choice>
        </mc:AlternateContent>
        <mc:AlternateContent xmlns:mc="http://schemas.openxmlformats.org/markup-compatibility/2006">
          <mc:Choice Requires="x14">
            <control shapeId="1035" r:id="rId14" name="Option Button 11">
              <controlPr defaultSize="0" autoFill="0" autoLine="0" autoPict="0">
                <anchor moveWithCells="1">
                  <from>
                    <xdr:col>1</xdr:col>
                    <xdr:colOff>9525</xdr:colOff>
                    <xdr:row>21</xdr:row>
                    <xdr:rowOff>133350</xdr:rowOff>
                  </from>
                  <to>
                    <xdr:col>3</xdr:col>
                    <xdr:colOff>381000</xdr:colOff>
                    <xdr:row>23</xdr:row>
                    <xdr:rowOff>28575</xdr:rowOff>
                  </to>
                </anchor>
              </controlPr>
            </control>
          </mc:Choice>
        </mc:AlternateContent>
        <mc:AlternateContent xmlns:mc="http://schemas.openxmlformats.org/markup-compatibility/2006">
          <mc:Choice Requires="x14">
            <control shapeId="1041" r:id="rId15" name="Option Button 17">
              <controlPr defaultSize="0" autoFill="0" autoLine="0" autoPict="0">
                <anchor moveWithCells="1">
                  <from>
                    <xdr:col>1</xdr:col>
                    <xdr:colOff>9525</xdr:colOff>
                    <xdr:row>23</xdr:row>
                    <xdr:rowOff>123825</xdr:rowOff>
                  </from>
                  <to>
                    <xdr:col>3</xdr:col>
                    <xdr:colOff>381000</xdr:colOff>
                    <xdr:row>25</xdr:row>
                    <xdr:rowOff>19050</xdr:rowOff>
                  </to>
                </anchor>
              </controlPr>
            </control>
          </mc:Choice>
        </mc:AlternateContent>
        <mc:AlternateContent xmlns:mc="http://schemas.openxmlformats.org/markup-compatibility/2006">
          <mc:Choice Requires="x14">
            <control shapeId="1042" r:id="rId16" name="Group Box 18">
              <controlPr defaultSize="0" autoFill="0" autoPict="0">
                <anchor moveWithCells="1">
                  <from>
                    <xdr:col>0</xdr:col>
                    <xdr:colOff>533400</xdr:colOff>
                    <xdr:row>27</xdr:row>
                    <xdr:rowOff>66675</xdr:rowOff>
                  </from>
                  <to>
                    <xdr:col>9</xdr:col>
                    <xdr:colOff>323850</xdr:colOff>
                    <xdr:row>32</xdr:row>
                    <xdr:rowOff>152400</xdr:rowOff>
                  </to>
                </anchor>
              </controlPr>
            </control>
          </mc:Choice>
        </mc:AlternateContent>
        <mc:AlternateContent xmlns:mc="http://schemas.openxmlformats.org/markup-compatibility/2006">
          <mc:Choice Requires="x14">
            <control shapeId="1047" r:id="rId17" name="Group Box 23">
              <controlPr defaultSize="0" autoFill="0" autoPict="0">
                <anchor moveWithCells="1">
                  <from>
                    <xdr:col>0</xdr:col>
                    <xdr:colOff>542925</xdr:colOff>
                    <xdr:row>34</xdr:row>
                    <xdr:rowOff>47625</xdr:rowOff>
                  </from>
                  <to>
                    <xdr:col>9</xdr:col>
                    <xdr:colOff>323850</xdr:colOff>
                    <xdr:row>48</xdr:row>
                    <xdr:rowOff>38100</xdr:rowOff>
                  </to>
                </anchor>
              </controlPr>
            </control>
          </mc:Choice>
        </mc:AlternateContent>
        <mc:AlternateContent xmlns:mc="http://schemas.openxmlformats.org/markup-compatibility/2006">
          <mc:Choice Requires="x14">
            <control shapeId="1074" r:id="rId18" name="Group Box 50">
              <controlPr defaultSize="0" autoFill="0" autoPict="0">
                <anchor moveWithCells="1">
                  <from>
                    <xdr:col>0</xdr:col>
                    <xdr:colOff>581025</xdr:colOff>
                    <xdr:row>49</xdr:row>
                    <xdr:rowOff>85725</xdr:rowOff>
                  </from>
                  <to>
                    <xdr:col>9</xdr:col>
                    <xdr:colOff>314325</xdr:colOff>
                    <xdr:row>63</xdr:row>
                    <xdr:rowOff>76200</xdr:rowOff>
                  </to>
                </anchor>
              </controlPr>
            </control>
          </mc:Choice>
        </mc:AlternateContent>
        <mc:AlternateContent xmlns:mc="http://schemas.openxmlformats.org/markup-compatibility/2006">
          <mc:Choice Requires="x14">
            <control shapeId="1092" r:id="rId19" name="Group Box 68">
              <controlPr defaultSize="0" autoFill="0" autoPict="0">
                <anchor moveWithCells="1">
                  <from>
                    <xdr:col>0</xdr:col>
                    <xdr:colOff>542925</xdr:colOff>
                    <xdr:row>65</xdr:row>
                    <xdr:rowOff>0</xdr:rowOff>
                  </from>
                  <to>
                    <xdr:col>9</xdr:col>
                    <xdr:colOff>314325</xdr:colOff>
                    <xdr:row>78</xdr:row>
                    <xdr:rowOff>152400</xdr:rowOff>
                  </to>
                </anchor>
              </controlPr>
            </control>
          </mc:Choice>
        </mc:AlternateContent>
        <mc:AlternateContent xmlns:mc="http://schemas.openxmlformats.org/markup-compatibility/2006">
          <mc:Choice Requires="x14">
            <control shapeId="1110" r:id="rId20" name="Group Box 86">
              <controlPr defaultSize="0" autoFill="0" autoPict="0">
                <anchor moveWithCells="1">
                  <from>
                    <xdr:col>0</xdr:col>
                    <xdr:colOff>542925</xdr:colOff>
                    <xdr:row>80</xdr:row>
                    <xdr:rowOff>104775</xdr:rowOff>
                  </from>
                  <to>
                    <xdr:col>9</xdr:col>
                    <xdr:colOff>314325</xdr:colOff>
                    <xdr:row>94</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dimension ref="B3:O64"/>
  <sheetViews>
    <sheetView showGridLines="0" workbookViewId="0">
      <selection activeCell="C29" sqref="C29"/>
    </sheetView>
  </sheetViews>
  <sheetFormatPr defaultColWidth="11.42578125" defaultRowHeight="12.75" x14ac:dyDescent="0.2"/>
  <cols>
    <col min="1" max="1" width="11.42578125" style="5" customWidth="1"/>
    <col min="2" max="2" width="31.140625" style="5" bestFit="1" customWidth="1"/>
    <col min="3" max="4" width="11.42578125" style="5" customWidth="1"/>
    <col min="5" max="5" width="19.28515625" style="5" bestFit="1" customWidth="1"/>
    <col min="6" max="7" width="11.42578125" style="5" customWidth="1"/>
    <col min="8" max="8" width="17.140625" style="5" hidden="1" customWidth="1"/>
    <col min="9" max="15" width="11.42578125" style="5" hidden="1" customWidth="1"/>
    <col min="16" max="16384" width="11.42578125" style="5"/>
  </cols>
  <sheetData>
    <row r="3" spans="2:12" x14ac:dyDescent="0.2">
      <c r="B3" s="146" t="s">
        <v>57</v>
      </c>
      <c r="C3" s="140" t="str">
        <f>Bygg!G11</f>
        <v>Oslo</v>
      </c>
      <c r="E3" s="12" t="s">
        <v>532</v>
      </c>
      <c r="F3" s="14">
        <f>Terreng!I25</f>
        <v>1</v>
      </c>
    </row>
    <row r="4" spans="2:12" x14ac:dyDescent="0.2">
      <c r="B4" s="146" t="s">
        <v>58</v>
      </c>
      <c r="C4" s="140" t="str">
        <f>Bygg!G12</f>
        <v>Oslo</v>
      </c>
      <c r="E4" s="12" t="s">
        <v>533</v>
      </c>
      <c r="F4" s="14">
        <f>1</f>
        <v>1</v>
      </c>
    </row>
    <row r="5" spans="2:12" x14ac:dyDescent="0.2">
      <c r="B5" s="12" t="s">
        <v>524</v>
      </c>
      <c r="C5" s="11">
        <f>Bygg!G13</f>
        <v>22</v>
      </c>
      <c r="E5" s="12" t="s">
        <v>534</v>
      </c>
      <c r="F5" s="14">
        <v>1</v>
      </c>
    </row>
    <row r="6" spans="2:12" x14ac:dyDescent="0.2">
      <c r="B6" s="12" t="s">
        <v>525</v>
      </c>
      <c r="C6" s="14">
        <f>IF(OR(Bygg!O22=2,Bygg!O22=3),Bygg!C32+Bygg!C33,Bygg!C32)</f>
        <v>0</v>
      </c>
      <c r="E6" s="12" t="s">
        <v>535</v>
      </c>
      <c r="F6" s="14">
        <f>IF(C5&gt;=30,1,IF(Bygg!G16&lt;Bygg!E16,1,1+((30-C5)*(Bygg!G16-Bygg!E16))/(C5*(Bygg!F16-Bygg!E16))))</f>
        <v>1</v>
      </c>
    </row>
    <row r="7" spans="2:12" x14ac:dyDescent="0.2">
      <c r="E7" s="12" t="s">
        <v>544</v>
      </c>
      <c r="F7" s="11">
        <v>50</v>
      </c>
      <c r="K7" s="5">
        <v>1</v>
      </c>
      <c r="L7" s="5">
        <f>K7+K8</f>
        <v>3</v>
      </c>
    </row>
    <row r="8" spans="2:12" x14ac:dyDescent="0.2">
      <c r="B8" s="12" t="s">
        <v>526</v>
      </c>
      <c r="C8" s="37">
        <f>F4*F5*F6*F8*C5</f>
        <v>22</v>
      </c>
      <c r="E8" s="12" t="s">
        <v>536</v>
      </c>
      <c r="F8" s="14">
        <v>1</v>
      </c>
      <c r="K8" s="5">
        <v>2</v>
      </c>
      <c r="L8" s="5">
        <f>K7+L7</f>
        <v>4</v>
      </c>
    </row>
    <row r="9" spans="2:12" x14ac:dyDescent="0.2">
      <c r="B9" s="12" t="s">
        <v>527</v>
      </c>
      <c r="C9" s="37">
        <f>IF(C6&lt;Terreng!E14, Terreng!E14, C6)</f>
        <v>2</v>
      </c>
    </row>
    <row r="10" spans="2:12" x14ac:dyDescent="0.2">
      <c r="B10" s="12" t="s">
        <v>528</v>
      </c>
      <c r="C10" s="37">
        <f>IF(Terreng!K17=1,1,IF(Terreng!K17=5, Terreng!H25,1+(Terreng!H25-1)*EXP(-Terreng!F25*C9/Terreng!N20)))</f>
        <v>1</v>
      </c>
      <c r="E10" s="12" t="s">
        <v>537</v>
      </c>
      <c r="F10" s="11">
        <v>1.25</v>
      </c>
    </row>
    <row r="11" spans="2:12" x14ac:dyDescent="0.2">
      <c r="B11" s="12" t="s">
        <v>529</v>
      </c>
      <c r="C11" s="14">
        <f>IF(C9&lt;=200,Terreng!C14*LN(C9/Terreng!D14),Terreng!C14*LN(200/Terreng!D14))</f>
        <v>1.0403664273398356</v>
      </c>
      <c r="E11" s="12" t="s">
        <v>538</v>
      </c>
      <c r="F11" s="11">
        <v>3.5</v>
      </c>
    </row>
    <row r="12" spans="2:12" x14ac:dyDescent="0.2">
      <c r="B12" s="12" t="s">
        <v>530</v>
      </c>
      <c r="C12" s="14">
        <f>F3*Terreng!C14/(C11*C10)</f>
        <v>0.15379196770998457</v>
      </c>
    </row>
    <row r="13" spans="2:12" x14ac:dyDescent="0.2">
      <c r="B13" s="12" t="s">
        <v>531</v>
      </c>
      <c r="C13" s="14">
        <f>C11*C10*C8</f>
        <v>22.888061401476385</v>
      </c>
      <c r="E13" s="38" t="s">
        <v>539</v>
      </c>
      <c r="F13" s="11">
        <f>0.9</f>
        <v>0.9</v>
      </c>
    </row>
    <row r="14" spans="2:12" x14ac:dyDescent="0.2">
      <c r="B14" s="12" t="s">
        <v>547</v>
      </c>
      <c r="C14" s="14">
        <f>C13*SQRT(1+2*F11*C12)</f>
        <v>32.98219500958254</v>
      </c>
      <c r="E14" s="38" t="s">
        <v>540</v>
      </c>
      <c r="F14" s="11">
        <v>1.5</v>
      </c>
    </row>
    <row r="15" spans="2:12" x14ac:dyDescent="0.2">
      <c r="H15" s="28">
        <f>IF(Terreng!K17=4,1,IF(Terreng!K17=3,1,IF(Terreng!K17=2,1,IF(Terreng!K17=6,1,IF(Terreng!K17=5,2,0)))))</f>
        <v>0</v>
      </c>
    </row>
    <row r="16" spans="2:12" x14ac:dyDescent="0.2">
      <c r="E16" s="38" t="s">
        <v>541</v>
      </c>
      <c r="F16" s="39">
        <f>IF(H15=1,C10^2*(1+2*F11*C12)/(1+2*F11*Terreng!C14/C11),1)</f>
        <v>1</v>
      </c>
      <c r="H16" s="20"/>
    </row>
    <row r="17" spans="2:15" x14ac:dyDescent="0.2">
      <c r="E17" s="38" t="s">
        <v>542</v>
      </c>
      <c r="F17" s="39">
        <f>IF(H15=2,C10^2*(1+2*F11*C12)/(1+2*F11*Terreng!C14/C11),1)</f>
        <v>1</v>
      </c>
    </row>
    <row r="18" spans="2:15" x14ac:dyDescent="0.2">
      <c r="E18" s="38" t="s">
        <v>543</v>
      </c>
      <c r="F18" s="14">
        <f>(1+2*F11*Terreng!C14/C11)*C11^2*0.5*F10*C5^2</f>
        <v>679.890742281332</v>
      </c>
    </row>
    <row r="19" spans="2:15" x14ac:dyDescent="0.2">
      <c r="E19" s="40" t="s">
        <v>548</v>
      </c>
      <c r="F19" s="41">
        <f>F16*F17*F4^2*F5^2*F6^2*F8^2*F18</f>
        <v>679.890742281332</v>
      </c>
    </row>
    <row r="21" spans="2:15" x14ac:dyDescent="0.2">
      <c r="I21" s="42"/>
    </row>
    <row r="22" spans="2:15" x14ac:dyDescent="0.2">
      <c r="O22" s="5">
        <v>1</v>
      </c>
    </row>
    <row r="25" spans="2:15" x14ac:dyDescent="0.2">
      <c r="H25" s="27">
        <v>1</v>
      </c>
    </row>
    <row r="27" spans="2:15" x14ac:dyDescent="0.2">
      <c r="G27" s="16"/>
    </row>
    <row r="29" spans="2:15" x14ac:dyDescent="0.2">
      <c r="B29" s="141" t="s">
        <v>545</v>
      </c>
      <c r="C29" s="2"/>
    </row>
    <row r="31" spans="2:15" x14ac:dyDescent="0.2">
      <c r="B31" s="148" t="s">
        <v>546</v>
      </c>
      <c r="C31" s="41">
        <f>IF($H$25=1,0.5*F10*C14^2,C29)</f>
        <v>679.89074228133222</v>
      </c>
    </row>
    <row r="33" spans="2:11" x14ac:dyDescent="0.2">
      <c r="B33" s="146" t="s">
        <v>547</v>
      </c>
      <c r="C33" s="14">
        <f>IF($H$25=1,C14,SQRT(2*C29/F10))</f>
        <v>32.98219500958254</v>
      </c>
    </row>
    <row r="41" spans="2:11" x14ac:dyDescent="0.2">
      <c r="B41" s="20"/>
    </row>
    <row r="46" spans="2:11" s="13" customFormat="1" x14ac:dyDescent="0.2"/>
    <row r="47" spans="2:11" s="13" customFormat="1" x14ac:dyDescent="0.2"/>
    <row r="48" spans="2:11" s="13" customFormat="1" x14ac:dyDescent="0.2">
      <c r="C48" s="42"/>
      <c r="D48" s="42"/>
      <c r="E48" s="42"/>
      <c r="F48" s="42"/>
      <c r="G48" s="42"/>
      <c r="H48" s="43"/>
      <c r="I48" s="43"/>
      <c r="J48" s="42"/>
      <c r="K48" s="43"/>
    </row>
    <row r="49" spans="3:11" s="13" customFormat="1" x14ac:dyDescent="0.2">
      <c r="C49" s="42"/>
      <c r="D49" s="42"/>
      <c r="E49" s="42"/>
      <c r="F49" s="42"/>
      <c r="G49" s="42"/>
      <c r="H49" s="43"/>
      <c r="I49" s="43"/>
      <c r="J49" s="42"/>
      <c r="K49" s="43"/>
    </row>
    <row r="50" spans="3:11" s="13" customFormat="1" x14ac:dyDescent="0.2">
      <c r="C50" s="42"/>
      <c r="D50" s="42"/>
      <c r="E50" s="42"/>
      <c r="F50" s="42"/>
      <c r="G50" s="42"/>
      <c r="H50" s="43"/>
      <c r="I50" s="43"/>
      <c r="J50" s="42"/>
      <c r="K50" s="43"/>
    </row>
    <row r="51" spans="3:11" s="13" customFormat="1" x14ac:dyDescent="0.2">
      <c r="C51" s="42"/>
      <c r="D51" s="42"/>
      <c r="E51" s="42"/>
      <c r="F51" s="42"/>
      <c r="G51" s="42"/>
      <c r="H51" s="43"/>
      <c r="I51" s="43"/>
      <c r="J51" s="42"/>
      <c r="K51" s="43"/>
    </row>
    <row r="52" spans="3:11" s="13" customFormat="1" x14ac:dyDescent="0.2">
      <c r="C52" s="42"/>
      <c r="D52" s="42"/>
      <c r="E52" s="42"/>
      <c r="F52" s="42"/>
      <c r="G52" s="42"/>
      <c r="H52" s="43"/>
      <c r="I52" s="43"/>
      <c r="J52" s="42"/>
      <c r="K52" s="43"/>
    </row>
    <row r="53" spans="3:11" s="13" customFormat="1" x14ac:dyDescent="0.2">
      <c r="C53" s="42"/>
      <c r="D53" s="42"/>
      <c r="E53" s="42"/>
      <c r="F53" s="42"/>
      <c r="G53" s="42"/>
      <c r="H53" s="43"/>
      <c r="I53" s="43"/>
      <c r="J53" s="42"/>
      <c r="K53" s="43"/>
    </row>
    <row r="54" spans="3:11" s="13" customFormat="1" x14ac:dyDescent="0.2">
      <c r="C54" s="42"/>
      <c r="D54" s="42"/>
      <c r="E54" s="42"/>
      <c r="F54" s="42"/>
      <c r="G54" s="42"/>
      <c r="H54" s="43"/>
      <c r="I54" s="43"/>
      <c r="J54" s="42"/>
      <c r="K54" s="43"/>
    </row>
    <row r="55" spans="3:11" s="13" customFormat="1" x14ac:dyDescent="0.2">
      <c r="C55" s="42"/>
      <c r="D55" s="42"/>
      <c r="E55" s="42"/>
      <c r="F55" s="42"/>
      <c r="G55" s="42"/>
      <c r="H55" s="43"/>
      <c r="I55" s="43"/>
      <c r="J55" s="42"/>
      <c r="K55" s="43"/>
    </row>
    <row r="56" spans="3:11" s="13" customFormat="1" x14ac:dyDescent="0.2">
      <c r="C56" s="42"/>
      <c r="D56" s="42"/>
      <c r="E56" s="42"/>
      <c r="F56" s="42"/>
      <c r="G56" s="42"/>
      <c r="H56" s="43"/>
      <c r="I56" s="43"/>
      <c r="J56" s="42"/>
      <c r="K56" s="43"/>
    </row>
    <row r="57" spans="3:11" s="13" customFormat="1" x14ac:dyDescent="0.2">
      <c r="C57" s="42"/>
      <c r="D57" s="42"/>
      <c r="E57" s="42"/>
      <c r="F57" s="42"/>
      <c r="G57" s="42"/>
      <c r="H57" s="43"/>
      <c r="I57" s="43"/>
      <c r="J57" s="42"/>
      <c r="K57" s="43"/>
    </row>
    <row r="58" spans="3:11" s="13" customFormat="1" x14ac:dyDescent="0.2">
      <c r="C58" s="42"/>
      <c r="D58" s="42"/>
      <c r="E58" s="42"/>
      <c r="F58" s="42"/>
      <c r="G58" s="42"/>
      <c r="H58" s="43"/>
      <c r="I58" s="43"/>
      <c r="J58" s="42"/>
      <c r="K58" s="43"/>
    </row>
    <row r="59" spans="3:11" s="13" customFormat="1" x14ac:dyDescent="0.2">
      <c r="C59" s="42"/>
      <c r="D59" s="42"/>
      <c r="E59" s="42"/>
      <c r="F59" s="42"/>
      <c r="G59" s="42"/>
      <c r="H59" s="43"/>
      <c r="I59" s="43"/>
      <c r="J59" s="42"/>
      <c r="K59" s="43"/>
    </row>
    <row r="60" spans="3:11" s="13" customFormat="1" x14ac:dyDescent="0.2">
      <c r="C60" s="42"/>
      <c r="D60" s="42"/>
      <c r="E60" s="42"/>
      <c r="F60" s="42"/>
      <c r="G60" s="42"/>
      <c r="H60" s="43"/>
      <c r="I60" s="43"/>
      <c r="J60" s="42"/>
      <c r="K60" s="43"/>
    </row>
    <row r="61" spans="3:11" s="13" customFormat="1" x14ac:dyDescent="0.2">
      <c r="C61" s="42"/>
      <c r="D61" s="42"/>
      <c r="E61" s="42"/>
      <c r="F61" s="42"/>
      <c r="G61" s="42"/>
      <c r="H61" s="43"/>
      <c r="I61" s="43"/>
      <c r="J61" s="42"/>
      <c r="K61" s="43"/>
    </row>
    <row r="62" spans="3:11" s="13" customFormat="1" x14ac:dyDescent="0.2">
      <c r="C62" s="42"/>
      <c r="D62" s="42"/>
      <c r="E62" s="42"/>
      <c r="F62" s="42"/>
      <c r="G62" s="42"/>
      <c r="H62" s="43"/>
      <c r="I62" s="43"/>
      <c r="J62" s="42"/>
      <c r="K62" s="43"/>
    </row>
    <row r="63" spans="3:11" s="13" customFormat="1" x14ac:dyDescent="0.2">
      <c r="C63" s="42"/>
      <c r="D63" s="42"/>
      <c r="E63" s="42"/>
      <c r="F63" s="42"/>
      <c r="G63" s="42"/>
      <c r="H63" s="43"/>
      <c r="I63" s="43"/>
      <c r="J63" s="42"/>
      <c r="K63" s="43"/>
    </row>
    <row r="64" spans="3:11" s="13" customFormat="1" x14ac:dyDescent="0.2">
      <c r="C64" s="42"/>
      <c r="D64" s="42"/>
      <c r="E64" s="42"/>
      <c r="F64" s="42"/>
      <c r="G64" s="42"/>
      <c r="H64" s="43"/>
      <c r="I64" s="43"/>
      <c r="J64" s="42"/>
      <c r="K64" s="43"/>
    </row>
  </sheetData>
  <sheetProtection algorithmName="SHA-512" hashValue="k3ZZ2W91Rdy6p4s2+UTSJculrUoKmxnrC07kzIO50mGWzXkyBCps1skCQio0le/0Xqlsri7nffUiuwwU0x3ylQ==" saltValue="y02l/7EQn439OHvYq0TUOQ==" spinCount="100000" sheet="1" objects="1" scenarios="1" selectLockedCells="1"/>
  <phoneticPr fontId="0" type="noConversion"/>
  <conditionalFormatting sqref="B29:C29">
    <cfRule type="expression" dxfId="10" priority="1" stopIfTrue="1">
      <formula>OR($H$25=2)</formula>
    </cfRule>
    <cfRule type="expression" dxfId="9" priority="2" stopIfTrue="1">
      <formula>OR($H$25=1)</formula>
    </cfRule>
  </conditionalFormatting>
  <pageMargins left="0.78740157499999996" right="0.78740157499999996" top="0.984251969" bottom="0.984251969" header="0.5" footer="0.5"/>
  <pageSetup paperSize="9" orientation="portrait"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8" r:id="rId4" name="Group Box 6">
              <controlPr defaultSize="0" autoFill="0" autoPict="0">
                <anchor moveWithCells="1">
                  <from>
                    <xdr:col>0</xdr:col>
                    <xdr:colOff>609600</xdr:colOff>
                    <xdr:row>1</xdr:row>
                    <xdr:rowOff>9525</xdr:rowOff>
                  </from>
                  <to>
                    <xdr:col>6</xdr:col>
                    <xdr:colOff>314325</xdr:colOff>
                    <xdr:row>19</xdr:row>
                    <xdr:rowOff>142875</xdr:rowOff>
                  </to>
                </anchor>
              </controlPr>
            </control>
          </mc:Choice>
        </mc:AlternateContent>
        <mc:AlternateContent xmlns:mc="http://schemas.openxmlformats.org/markup-compatibility/2006">
          <mc:Choice Requires="x14">
            <control shapeId="3106" r:id="rId5" name="Option Button 34">
              <controlPr defaultSize="0" autoFill="0" autoLine="0" autoPict="0">
                <anchor moveWithCells="1">
                  <from>
                    <xdr:col>1</xdr:col>
                    <xdr:colOff>9525</xdr:colOff>
                    <xdr:row>23</xdr:row>
                    <xdr:rowOff>133350</xdr:rowOff>
                  </from>
                  <to>
                    <xdr:col>3</xdr:col>
                    <xdr:colOff>0</xdr:colOff>
                    <xdr:row>25</xdr:row>
                    <xdr:rowOff>28575</xdr:rowOff>
                  </to>
                </anchor>
              </controlPr>
            </control>
          </mc:Choice>
        </mc:AlternateContent>
        <mc:AlternateContent xmlns:mc="http://schemas.openxmlformats.org/markup-compatibility/2006">
          <mc:Choice Requires="x14">
            <control shapeId="3107" r:id="rId6" name="Option Button 35">
              <controlPr defaultSize="0" autoFill="0" autoLine="0" autoPict="0">
                <anchor moveWithCells="1">
                  <from>
                    <xdr:col>1</xdr:col>
                    <xdr:colOff>9525</xdr:colOff>
                    <xdr:row>25</xdr:row>
                    <xdr:rowOff>104775</xdr:rowOff>
                  </from>
                  <to>
                    <xdr:col>3</xdr:col>
                    <xdr:colOff>0</xdr:colOff>
                    <xdr:row>27</xdr:row>
                    <xdr:rowOff>0</xdr:rowOff>
                  </to>
                </anchor>
              </controlPr>
            </control>
          </mc:Choice>
        </mc:AlternateContent>
        <mc:AlternateContent xmlns:mc="http://schemas.openxmlformats.org/markup-compatibility/2006">
          <mc:Choice Requires="x14">
            <control shapeId="3215" r:id="rId7" name="Group Box 143">
              <controlPr defaultSize="0" autoFill="0" autoPict="0">
                <anchor moveWithCells="1">
                  <from>
                    <xdr:col>0</xdr:col>
                    <xdr:colOff>609600</xdr:colOff>
                    <xdr:row>22</xdr:row>
                    <xdr:rowOff>9525</xdr:rowOff>
                  </from>
                  <to>
                    <xdr:col>6</xdr:col>
                    <xdr:colOff>314325</xdr:colOff>
                    <xdr:row>33</xdr:row>
                    <xdr:rowOff>142875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pageSetUpPr fitToPage="1"/>
  </sheetPr>
  <dimension ref="B1:AH120"/>
  <sheetViews>
    <sheetView showGridLines="0" workbookViewId="0">
      <selection activeCell="C4" sqref="C4"/>
    </sheetView>
  </sheetViews>
  <sheetFormatPr defaultColWidth="11.42578125" defaultRowHeight="12.75" x14ac:dyDescent="0.2"/>
  <cols>
    <col min="1" max="1" width="16.7109375" style="5" customWidth="1"/>
    <col min="2" max="2" width="18.140625" style="5" customWidth="1"/>
    <col min="3" max="7" width="16.7109375" style="5" customWidth="1"/>
    <col min="8" max="8" width="0" style="5" hidden="1" customWidth="1"/>
    <col min="9" max="16384" width="11.42578125" style="5"/>
  </cols>
  <sheetData>
    <row r="1" spans="2:34" x14ac:dyDescent="0.2">
      <c r="H1"/>
      <c r="I1"/>
      <c r="J1"/>
      <c r="K1"/>
      <c r="L1"/>
      <c r="N1"/>
      <c r="O1"/>
      <c r="P1"/>
      <c r="Q1"/>
      <c r="R1"/>
      <c r="S1"/>
      <c r="T1"/>
      <c r="U1"/>
      <c r="V1"/>
      <c r="Z1"/>
      <c r="AA1"/>
      <c r="AB1"/>
      <c r="AC1"/>
      <c r="AD1"/>
      <c r="AE1"/>
      <c r="AF1"/>
      <c r="AG1"/>
      <c r="AH1"/>
    </row>
    <row r="2" spans="2:34" x14ac:dyDescent="0.2">
      <c r="H2"/>
      <c r="I2"/>
      <c r="J2"/>
      <c r="K2"/>
      <c r="L2"/>
      <c r="N2"/>
      <c r="O2"/>
      <c r="P2"/>
      <c r="Q2"/>
      <c r="R2"/>
      <c r="S2"/>
      <c r="T2"/>
      <c r="U2"/>
      <c r="V2"/>
      <c r="Z2"/>
      <c r="AA2"/>
      <c r="AB2"/>
      <c r="AC2"/>
      <c r="AD2"/>
      <c r="AE2"/>
      <c r="AF2"/>
      <c r="AG2"/>
      <c r="AH2"/>
    </row>
    <row r="3" spans="2:34" x14ac:dyDescent="0.2">
      <c r="H3"/>
      <c r="I3"/>
      <c r="J3"/>
      <c r="K3"/>
      <c r="L3"/>
      <c r="N3"/>
      <c r="O3"/>
      <c r="P3"/>
      <c r="Q3"/>
      <c r="R3"/>
      <c r="S3"/>
      <c r="T3"/>
      <c r="U3"/>
      <c r="V3"/>
      <c r="Z3"/>
      <c r="AA3"/>
      <c r="AB3"/>
      <c r="AC3"/>
      <c r="AD3"/>
      <c r="AE3"/>
      <c r="AF3"/>
      <c r="AG3"/>
      <c r="AH3"/>
    </row>
    <row r="4" spans="2:34" x14ac:dyDescent="0.2">
      <c r="B4" s="151" t="s">
        <v>13</v>
      </c>
      <c r="C4" s="152"/>
      <c r="E4" s="151" t="s">
        <v>13</v>
      </c>
      <c r="F4" s="152"/>
      <c r="H4"/>
      <c r="I4"/>
      <c r="J4"/>
      <c r="K4"/>
      <c r="L4"/>
      <c r="N4"/>
      <c r="O4"/>
      <c r="P4"/>
      <c r="Q4"/>
      <c r="R4"/>
      <c r="S4"/>
      <c r="T4"/>
      <c r="U4"/>
      <c r="V4"/>
      <c r="Z4"/>
      <c r="AA4"/>
      <c r="AB4"/>
      <c r="AC4"/>
      <c r="AD4"/>
      <c r="AE4"/>
      <c r="AF4"/>
      <c r="AG4"/>
      <c r="AH4"/>
    </row>
    <row r="5" spans="2:34" x14ac:dyDescent="0.2">
      <c r="H5"/>
      <c r="I5"/>
      <c r="J5"/>
      <c r="K5"/>
      <c r="L5"/>
      <c r="N5"/>
      <c r="O5"/>
      <c r="P5"/>
      <c r="Q5"/>
      <c r="R5"/>
      <c r="S5"/>
      <c r="T5"/>
      <c r="U5"/>
      <c r="V5"/>
      <c r="Z5"/>
      <c r="AA5"/>
      <c r="AB5"/>
      <c r="AC5"/>
      <c r="AD5"/>
      <c r="AE5"/>
      <c r="AF5"/>
      <c r="AG5"/>
      <c r="AH5"/>
    </row>
    <row r="6" spans="2:34" x14ac:dyDescent="0.2">
      <c r="B6" s="151" t="s">
        <v>608</v>
      </c>
      <c r="C6" s="153"/>
      <c r="E6" s="151" t="s">
        <v>608</v>
      </c>
      <c r="F6" s="153"/>
      <c r="H6"/>
      <c r="I6"/>
      <c r="J6"/>
      <c r="K6"/>
      <c r="L6"/>
      <c r="N6"/>
      <c r="O6"/>
      <c r="P6"/>
      <c r="Q6"/>
      <c r="R6"/>
      <c r="S6"/>
      <c r="T6"/>
      <c r="U6"/>
      <c r="V6"/>
      <c r="Z6"/>
      <c r="AA6"/>
      <c r="AB6"/>
      <c r="AC6"/>
      <c r="AD6"/>
      <c r="AE6"/>
      <c r="AF6"/>
      <c r="AG6"/>
      <c r="AH6"/>
    </row>
    <row r="7" spans="2:34" x14ac:dyDescent="0.2">
      <c r="H7"/>
      <c r="I7"/>
      <c r="J7"/>
      <c r="K7"/>
      <c r="L7"/>
      <c r="N7"/>
      <c r="O7"/>
      <c r="P7"/>
      <c r="Q7"/>
      <c r="R7"/>
      <c r="S7"/>
      <c r="T7"/>
      <c r="U7"/>
      <c r="V7"/>
      <c r="Z7"/>
      <c r="AA7"/>
      <c r="AB7"/>
      <c r="AC7"/>
      <c r="AD7"/>
      <c r="AE7"/>
      <c r="AF7"/>
      <c r="AG7"/>
      <c r="AH7"/>
    </row>
    <row r="8" spans="2:34" x14ac:dyDescent="0.2">
      <c r="B8" s="151" t="s">
        <v>550</v>
      </c>
      <c r="C8" s="153"/>
      <c r="E8" s="151" t="s">
        <v>550</v>
      </c>
      <c r="F8" s="153"/>
      <c r="H8"/>
      <c r="I8"/>
      <c r="J8"/>
      <c r="K8"/>
      <c r="L8"/>
      <c r="N8"/>
      <c r="O8"/>
      <c r="P8"/>
      <c r="Q8"/>
      <c r="R8"/>
      <c r="S8"/>
      <c r="T8"/>
      <c r="U8"/>
      <c r="V8"/>
      <c r="Z8"/>
      <c r="AA8"/>
      <c r="AB8"/>
      <c r="AC8"/>
      <c r="AD8"/>
      <c r="AE8"/>
      <c r="AF8"/>
      <c r="AG8"/>
      <c r="AH8"/>
    </row>
    <row r="9" spans="2:34" x14ac:dyDescent="0.2">
      <c r="C9" s="46" t="str">
        <f>IF(AND(I11=2,I1=1,C8&gt;1.2),"Input exceeds 1,2 m.","")</f>
        <v/>
      </c>
      <c r="F9" s="46" t="str">
        <f>IF(AND(J11=2,J1=1,F8&gt;1.2),"Input exceeds 1,2 m.","")</f>
        <v/>
      </c>
      <c r="H9"/>
      <c r="I9"/>
      <c r="J9"/>
      <c r="K9"/>
      <c r="L9"/>
      <c r="N9"/>
      <c r="O9"/>
      <c r="P9"/>
      <c r="Q9"/>
      <c r="R9"/>
      <c r="S9"/>
      <c r="T9"/>
      <c r="U9"/>
      <c r="V9"/>
      <c r="Z9"/>
      <c r="AA9"/>
      <c r="AB9"/>
      <c r="AC9"/>
      <c r="AD9"/>
      <c r="AE9"/>
      <c r="AF9"/>
      <c r="AG9"/>
      <c r="AH9"/>
    </row>
    <row r="10" spans="2:34" x14ac:dyDescent="0.2">
      <c r="C10" s="46"/>
      <c r="F10" s="46"/>
      <c r="H10"/>
      <c r="I10"/>
      <c r="J10"/>
      <c r="K10"/>
      <c r="L10"/>
      <c r="N10"/>
      <c r="O10"/>
      <c r="P10"/>
      <c r="Q10"/>
      <c r="R10"/>
      <c r="S10"/>
      <c r="T10"/>
      <c r="U10"/>
      <c r="V10"/>
      <c r="Z10"/>
      <c r="AA10"/>
      <c r="AB10"/>
      <c r="AC10"/>
      <c r="AD10"/>
      <c r="AE10"/>
      <c r="AF10"/>
      <c r="AG10"/>
      <c r="AH10"/>
    </row>
    <row r="11" spans="2:34" x14ac:dyDescent="0.2">
      <c r="H11"/>
      <c r="I11"/>
      <c r="J11"/>
      <c r="K11"/>
      <c r="L11"/>
      <c r="N11"/>
      <c r="O11"/>
      <c r="P11"/>
      <c r="Q11"/>
      <c r="R11"/>
      <c r="S11"/>
      <c r="T11"/>
      <c r="U11"/>
      <c r="V11"/>
      <c r="Z11"/>
      <c r="AA11"/>
      <c r="AB11"/>
      <c r="AC11"/>
      <c r="AD11"/>
      <c r="AE11"/>
      <c r="AF11"/>
      <c r="AG11"/>
      <c r="AH11"/>
    </row>
    <row r="12" spans="2:34" x14ac:dyDescent="0.2">
      <c r="H12"/>
      <c r="I12"/>
      <c r="J12"/>
      <c r="K12"/>
      <c r="L12"/>
      <c r="N12"/>
      <c r="O12"/>
      <c r="P12"/>
      <c r="Q12"/>
      <c r="R12"/>
      <c r="S12"/>
      <c r="T12"/>
      <c r="U12"/>
      <c r="V12"/>
      <c r="Z12"/>
      <c r="AA12"/>
      <c r="AB12"/>
      <c r="AC12"/>
      <c r="AD12"/>
      <c r="AE12"/>
      <c r="AF12"/>
      <c r="AG12"/>
      <c r="AH12"/>
    </row>
    <row r="13" spans="2:34" x14ac:dyDescent="0.2">
      <c r="B13" s="151" t="s">
        <v>551</v>
      </c>
      <c r="C13" s="158"/>
      <c r="E13" s="151" t="s">
        <v>551</v>
      </c>
      <c r="F13" s="158"/>
      <c r="H13"/>
      <c r="I13"/>
      <c r="J13"/>
      <c r="K13"/>
      <c r="L13"/>
      <c r="N13"/>
      <c r="O13"/>
      <c r="P13"/>
      <c r="Q13"/>
      <c r="R13"/>
      <c r="S13"/>
      <c r="T13"/>
      <c r="U13"/>
      <c r="V13"/>
      <c r="Z13"/>
      <c r="AA13"/>
      <c r="AB13"/>
      <c r="AC13"/>
      <c r="AD13"/>
      <c r="AE13"/>
      <c r="AF13"/>
      <c r="AG13"/>
      <c r="AH13"/>
    </row>
    <row r="14" spans="2:34" x14ac:dyDescent="0.2">
      <c r="H14"/>
      <c r="I14"/>
      <c r="J14"/>
      <c r="K14"/>
      <c r="L14"/>
      <c r="N14"/>
      <c r="O14"/>
      <c r="P14"/>
      <c r="Q14"/>
      <c r="R14"/>
      <c r="S14"/>
      <c r="T14"/>
      <c r="U14"/>
      <c r="V14"/>
      <c r="Z14"/>
      <c r="AA14"/>
      <c r="AB14"/>
      <c r="AC14"/>
      <c r="AD14"/>
      <c r="AE14"/>
      <c r="AF14"/>
      <c r="AG14"/>
      <c r="AH14"/>
    </row>
    <row r="15" spans="2:34" x14ac:dyDescent="0.2">
      <c r="B15" s="151" t="s">
        <v>549</v>
      </c>
      <c r="C15" s="159"/>
      <c r="E15" s="151" t="s">
        <v>549</v>
      </c>
      <c r="F15" s="159"/>
      <c r="H15"/>
      <c r="I15"/>
      <c r="J15"/>
      <c r="K15"/>
      <c r="L15"/>
      <c r="N15"/>
      <c r="O15"/>
      <c r="P15"/>
      <c r="Q15"/>
      <c r="R15"/>
      <c r="S15"/>
      <c r="T15"/>
      <c r="U15"/>
      <c r="V15"/>
      <c r="Z15"/>
      <c r="AA15"/>
      <c r="AB15"/>
      <c r="AC15"/>
      <c r="AD15"/>
      <c r="AE15"/>
      <c r="AF15"/>
      <c r="AG15"/>
      <c r="AH15"/>
    </row>
    <row r="16" spans="2:34" x14ac:dyDescent="0.2">
      <c r="H16"/>
      <c r="I16"/>
      <c r="J16"/>
      <c r="K16"/>
      <c r="L16"/>
      <c r="N16"/>
      <c r="O16"/>
      <c r="P16"/>
      <c r="Q16"/>
      <c r="R16"/>
      <c r="S16"/>
      <c r="T16"/>
      <c r="U16"/>
      <c r="V16"/>
      <c r="Z16"/>
      <c r="AA16"/>
      <c r="AB16"/>
      <c r="AC16"/>
      <c r="AD16"/>
      <c r="AE16"/>
      <c r="AF16"/>
      <c r="AG16"/>
      <c r="AH16"/>
    </row>
    <row r="17" spans="2:34" x14ac:dyDescent="0.2">
      <c r="H17"/>
      <c r="I17"/>
      <c r="J17"/>
      <c r="K17"/>
      <c r="L17"/>
      <c r="N17"/>
      <c r="O17"/>
      <c r="P17"/>
      <c r="Q17"/>
      <c r="R17"/>
      <c r="S17"/>
      <c r="T17"/>
      <c r="U17"/>
      <c r="V17"/>
      <c r="Z17"/>
      <c r="AA17"/>
      <c r="AB17"/>
      <c r="AC17"/>
      <c r="AD17"/>
      <c r="AE17"/>
      <c r="AF17"/>
      <c r="AG17"/>
      <c r="AH17"/>
    </row>
    <row r="18" spans="2:34" x14ac:dyDescent="0.2">
      <c r="H18"/>
      <c r="I18"/>
      <c r="J18"/>
      <c r="K18"/>
      <c r="L18"/>
      <c r="N18"/>
      <c r="O18"/>
      <c r="P18"/>
      <c r="Q18"/>
      <c r="R18"/>
      <c r="S18"/>
      <c r="T18"/>
      <c r="U18"/>
      <c r="V18"/>
      <c r="Z18"/>
      <c r="AA18"/>
      <c r="AB18"/>
      <c r="AC18"/>
      <c r="AD18"/>
      <c r="AE18"/>
      <c r="AF18"/>
      <c r="AG18"/>
      <c r="AH18"/>
    </row>
    <row r="19" spans="2:34" x14ac:dyDescent="0.2">
      <c r="H19"/>
      <c r="I19"/>
      <c r="J19"/>
      <c r="K19"/>
      <c r="L19"/>
      <c r="N19"/>
      <c r="O19"/>
      <c r="P19"/>
      <c r="Q19"/>
      <c r="R19"/>
      <c r="S19"/>
      <c r="T19"/>
      <c r="U19"/>
      <c r="V19"/>
      <c r="Z19"/>
      <c r="AA19"/>
      <c r="AB19"/>
      <c r="AC19"/>
      <c r="AD19"/>
      <c r="AE19"/>
      <c r="AF19"/>
      <c r="AG19"/>
      <c r="AH19"/>
    </row>
    <row r="20" spans="2:34" x14ac:dyDescent="0.2">
      <c r="B20" s="154" t="s">
        <v>20</v>
      </c>
      <c r="C20" s="155"/>
      <c r="E20" s="154" t="s">
        <v>609</v>
      </c>
      <c r="F20" s="155"/>
      <c r="H20"/>
      <c r="I20"/>
      <c r="J20"/>
      <c r="K20"/>
      <c r="L20"/>
      <c r="N20"/>
      <c r="O20"/>
      <c r="P20"/>
      <c r="Q20"/>
      <c r="R20"/>
      <c r="S20"/>
      <c r="T20"/>
      <c r="U20"/>
      <c r="V20"/>
      <c r="Z20"/>
      <c r="AA20"/>
      <c r="AB20"/>
      <c r="AC20"/>
      <c r="AD20"/>
      <c r="AE20"/>
      <c r="AF20"/>
      <c r="AG20"/>
      <c r="AH20"/>
    </row>
    <row r="21" spans="2:34" x14ac:dyDescent="0.2">
      <c r="H21"/>
      <c r="I21"/>
      <c r="J21"/>
      <c r="K21"/>
      <c r="L21"/>
      <c r="N21"/>
      <c r="O21"/>
      <c r="P21"/>
      <c r="Q21"/>
      <c r="R21"/>
      <c r="S21"/>
      <c r="T21"/>
      <c r="U21"/>
      <c r="V21"/>
      <c r="Z21"/>
      <c r="AA21"/>
      <c r="AB21"/>
      <c r="AC21"/>
      <c r="AD21"/>
      <c r="AE21"/>
      <c r="AF21"/>
      <c r="AG21"/>
      <c r="AH21"/>
    </row>
    <row r="22" spans="2:34" x14ac:dyDescent="0.2">
      <c r="E22" s="151" t="s">
        <v>549</v>
      </c>
      <c r="F22" s="159"/>
      <c r="H22"/>
      <c r="I22"/>
      <c r="J22"/>
      <c r="K22"/>
      <c r="L22"/>
      <c r="N22"/>
      <c r="O22"/>
      <c r="P22"/>
      <c r="Q22"/>
      <c r="R22"/>
      <c r="S22"/>
      <c r="T22"/>
      <c r="U22"/>
      <c r="V22"/>
      <c r="Z22"/>
      <c r="AA22"/>
      <c r="AB22"/>
      <c r="AC22"/>
      <c r="AD22"/>
      <c r="AE22"/>
      <c r="AF22"/>
      <c r="AG22"/>
      <c r="AH22"/>
    </row>
    <row r="23" spans="2:34" x14ac:dyDescent="0.2">
      <c r="H23"/>
      <c r="I23"/>
      <c r="J23"/>
      <c r="K23"/>
      <c r="L23"/>
      <c r="N23"/>
      <c r="O23"/>
      <c r="P23"/>
      <c r="Q23"/>
      <c r="R23"/>
      <c r="S23"/>
      <c r="T23"/>
      <c r="U23"/>
      <c r="V23"/>
      <c r="Z23"/>
      <c r="AA23"/>
      <c r="AB23"/>
      <c r="AC23"/>
      <c r="AD23"/>
      <c r="AE23"/>
      <c r="AF23"/>
      <c r="AG23"/>
      <c r="AH23"/>
    </row>
    <row r="24" spans="2:34" x14ac:dyDescent="0.2">
      <c r="E24"/>
      <c r="F24"/>
      <c r="H24"/>
      <c r="I24"/>
      <c r="J24"/>
      <c r="K24"/>
      <c r="L24"/>
      <c r="N24"/>
      <c r="O24"/>
      <c r="P24"/>
      <c r="Q24"/>
      <c r="R24"/>
      <c r="S24"/>
      <c r="T24"/>
      <c r="U24"/>
      <c r="V24"/>
      <c r="Z24"/>
      <c r="AA24"/>
      <c r="AB24"/>
      <c r="AC24"/>
      <c r="AD24"/>
      <c r="AE24"/>
      <c r="AF24"/>
      <c r="AG24"/>
      <c r="AH24"/>
    </row>
    <row r="25" spans="2:34" x14ac:dyDescent="0.2">
      <c r="H25"/>
      <c r="I25"/>
      <c r="J25"/>
      <c r="K25"/>
      <c r="L25"/>
      <c r="N25"/>
      <c r="O25"/>
      <c r="P25"/>
      <c r="Q25"/>
      <c r="R25"/>
      <c r="S25"/>
      <c r="T25"/>
      <c r="U25"/>
      <c r="V25"/>
      <c r="Z25"/>
      <c r="AA25"/>
      <c r="AB25"/>
      <c r="AC25"/>
      <c r="AD25"/>
      <c r="AE25"/>
      <c r="AF25"/>
      <c r="AG25"/>
      <c r="AH25"/>
    </row>
    <row r="26" spans="2:34" x14ac:dyDescent="0.2">
      <c r="H26"/>
      <c r="I26"/>
      <c r="J26"/>
      <c r="K26"/>
      <c r="L26"/>
      <c r="N26"/>
      <c r="O26"/>
      <c r="P26"/>
      <c r="Q26"/>
      <c r="R26"/>
      <c r="S26"/>
      <c r="T26"/>
      <c r="U26"/>
      <c r="V26"/>
      <c r="Z26"/>
      <c r="AA26"/>
      <c r="AB26"/>
      <c r="AC26"/>
      <c r="AD26"/>
      <c r="AE26"/>
      <c r="AF26"/>
      <c r="AG26"/>
      <c r="AH26"/>
    </row>
    <row r="27" spans="2:34" x14ac:dyDescent="0.2">
      <c r="C27" s="49" t="s">
        <v>6</v>
      </c>
      <c r="E27" s="49" t="s">
        <v>552</v>
      </c>
      <c r="H27" s="5" t="s">
        <v>610</v>
      </c>
      <c r="I27"/>
      <c r="J27"/>
      <c r="K27"/>
      <c r="L27"/>
      <c r="N27"/>
      <c r="O27"/>
      <c r="P27"/>
      <c r="Q27"/>
      <c r="R27"/>
      <c r="S27"/>
      <c r="T27"/>
      <c r="U27"/>
      <c r="V27"/>
      <c r="Z27"/>
      <c r="AA27"/>
      <c r="AB27"/>
      <c r="AC27"/>
      <c r="AD27"/>
      <c r="AE27"/>
      <c r="AF27"/>
      <c r="AG27"/>
      <c r="AH27"/>
    </row>
    <row r="28" spans="2:34" x14ac:dyDescent="0.2">
      <c r="B28" s="50" t="s">
        <v>549</v>
      </c>
      <c r="C28" s="157">
        <f>IF(C15&lt;=F22,C15,F22)</f>
        <v>0</v>
      </c>
      <c r="D28" s="51"/>
      <c r="E28" s="157">
        <f>IF(F15&lt;=F22,F15,F22)</f>
        <v>0</v>
      </c>
      <c r="F28" s="52"/>
      <c r="H28" s="160">
        <f>IF($I$12=4,C30,C30-C31)</f>
        <v>0</v>
      </c>
      <c r="I28"/>
      <c r="J28"/>
      <c r="K28"/>
      <c r="L28"/>
      <c r="N28"/>
      <c r="O28"/>
      <c r="P28"/>
      <c r="Q28"/>
      <c r="R28"/>
      <c r="S28"/>
      <c r="T28"/>
      <c r="U28"/>
      <c r="V28"/>
      <c r="Z28"/>
      <c r="AA28"/>
      <c r="AB28"/>
      <c r="AC28"/>
      <c r="AD28"/>
      <c r="AE28"/>
      <c r="AF28"/>
      <c r="AG28"/>
      <c r="AH28"/>
    </row>
    <row r="29" spans="2:34" x14ac:dyDescent="0.2">
      <c r="B29" s="50" t="s">
        <v>13</v>
      </c>
      <c r="C29" s="55">
        <f>C4</f>
        <v>0</v>
      </c>
      <c r="D29" s="10"/>
      <c r="E29" s="55">
        <f>F4</f>
        <v>0</v>
      </c>
      <c r="F29" s="10"/>
      <c r="H29" s="5" t="s">
        <v>611</v>
      </c>
      <c r="I29"/>
      <c r="J29"/>
      <c r="K29"/>
      <c r="L29"/>
      <c r="N29"/>
      <c r="O29"/>
      <c r="P29"/>
      <c r="Q29"/>
      <c r="R29"/>
      <c r="S29"/>
      <c r="T29"/>
      <c r="U29"/>
      <c r="V29"/>
      <c r="Z29"/>
      <c r="AA29"/>
      <c r="AB29"/>
      <c r="AC29"/>
      <c r="AD29"/>
      <c r="AE29"/>
      <c r="AF29"/>
      <c r="AG29"/>
      <c r="AH29"/>
    </row>
    <row r="30" spans="2:34" x14ac:dyDescent="0.2">
      <c r="B30" s="54" t="str">
        <f>IF(AND(I11=2,J11=2),"Flippavstand (m)","Bredde (m)")</f>
        <v>Bredde (m)</v>
      </c>
      <c r="C30" s="55">
        <f>C6</f>
        <v>0</v>
      </c>
      <c r="D30" s="56"/>
      <c r="E30" s="55">
        <f>F6</f>
        <v>0</v>
      </c>
      <c r="F30" s="56"/>
      <c r="H30" s="160">
        <f>IF($J$12=4,E30,E30-E31)</f>
        <v>0</v>
      </c>
      <c r="I30"/>
      <c r="J30"/>
      <c r="K30"/>
      <c r="L30"/>
      <c r="N30"/>
      <c r="O30"/>
      <c r="P30"/>
      <c r="Q30"/>
      <c r="R30"/>
      <c r="S30"/>
      <c r="T30"/>
      <c r="U30"/>
      <c r="V30"/>
      <c r="Z30"/>
      <c r="AA30"/>
      <c r="AB30"/>
      <c r="AC30"/>
      <c r="AD30"/>
      <c r="AE30"/>
      <c r="AF30"/>
      <c r="AG30"/>
      <c r="AH30"/>
    </row>
    <row r="31" spans="2:34" x14ac:dyDescent="0.2">
      <c r="B31" s="50" t="s">
        <v>550</v>
      </c>
      <c r="C31" s="57">
        <f>C8</f>
        <v>0</v>
      </c>
      <c r="D31" s="58"/>
      <c r="E31" s="57">
        <f>F8</f>
        <v>0</v>
      </c>
      <c r="F31" s="10"/>
      <c r="H31"/>
      <c r="I31"/>
      <c r="J31"/>
      <c r="K31"/>
      <c r="L31"/>
      <c r="N31"/>
      <c r="O31"/>
      <c r="P31"/>
      <c r="Q31"/>
      <c r="R31"/>
      <c r="S31"/>
      <c r="T31"/>
      <c r="U31"/>
      <c r="V31"/>
      <c r="Z31"/>
      <c r="AA31"/>
      <c r="AB31"/>
      <c r="AC31"/>
      <c r="AD31"/>
      <c r="AE31"/>
      <c r="AF31"/>
      <c r="AG31"/>
      <c r="AH31"/>
    </row>
    <row r="32" spans="2:34" x14ac:dyDescent="0.2">
      <c r="B32" s="54" t="s">
        <v>551</v>
      </c>
      <c r="C32" s="53">
        <f>C13</f>
        <v>0</v>
      </c>
      <c r="D32" s="10"/>
      <c r="E32" s="53">
        <f>F13</f>
        <v>0</v>
      </c>
      <c r="F32" s="10"/>
      <c r="H32"/>
      <c r="I32"/>
      <c r="J32"/>
      <c r="K32"/>
      <c r="L32"/>
      <c r="N32"/>
      <c r="O32"/>
      <c r="P32"/>
      <c r="Q32"/>
      <c r="R32"/>
      <c r="S32"/>
      <c r="T32"/>
      <c r="U32"/>
      <c r="V32"/>
      <c r="Z32"/>
      <c r="AA32"/>
      <c r="AB32"/>
      <c r="AC32"/>
      <c r="AD32"/>
      <c r="AE32"/>
      <c r="AF32"/>
      <c r="AG32"/>
      <c r="AH32"/>
    </row>
    <row r="33" spans="2:34" x14ac:dyDescent="0.2">
      <c r="B33" s="50" t="s">
        <v>609</v>
      </c>
      <c r="C33" s="53">
        <f>F20</f>
        <v>0</v>
      </c>
      <c r="D33" s="10"/>
      <c r="E33" s="53">
        <f>F20</f>
        <v>0</v>
      </c>
      <c r="F33" s="10"/>
      <c r="H33"/>
      <c r="I33"/>
      <c r="J33"/>
      <c r="K33"/>
      <c r="L33"/>
      <c r="N33"/>
      <c r="O33"/>
      <c r="P33"/>
      <c r="Q33"/>
      <c r="R33"/>
      <c r="S33"/>
      <c r="T33"/>
      <c r="U33"/>
      <c r="V33"/>
      <c r="Z33"/>
      <c r="AA33"/>
      <c r="AB33"/>
      <c r="AC33"/>
      <c r="AD33"/>
      <c r="AE33"/>
      <c r="AF33"/>
      <c r="AG33"/>
      <c r="AH33"/>
    </row>
    <row r="34" spans="2:34" x14ac:dyDescent="0.2">
      <c r="B34" s="50" t="s">
        <v>20</v>
      </c>
      <c r="C34" s="53">
        <f>C20</f>
        <v>0</v>
      </c>
      <c r="D34" s="10"/>
      <c r="E34" s="53">
        <f>C20</f>
        <v>0</v>
      </c>
      <c r="F34" s="10"/>
      <c r="H34"/>
      <c r="I34"/>
      <c r="J34"/>
      <c r="K34"/>
      <c r="L34"/>
      <c r="N34"/>
      <c r="O34"/>
      <c r="P34"/>
      <c r="Q34"/>
      <c r="R34"/>
      <c r="S34"/>
      <c r="T34"/>
      <c r="U34"/>
      <c r="V34"/>
      <c r="Z34"/>
      <c r="AA34"/>
      <c r="AB34"/>
      <c r="AC34"/>
      <c r="AD34"/>
      <c r="AE34"/>
      <c r="AF34"/>
      <c r="AG34"/>
      <c r="AH34"/>
    </row>
    <row r="35" spans="2:34" x14ac:dyDescent="0.2">
      <c r="H35"/>
      <c r="I35"/>
      <c r="J35"/>
      <c r="K35"/>
      <c r="L35"/>
      <c r="N35"/>
      <c r="O35"/>
      <c r="P35"/>
      <c r="Q35"/>
      <c r="R35"/>
      <c r="S35"/>
      <c r="T35"/>
      <c r="U35"/>
      <c r="V35"/>
      <c r="Z35"/>
      <c r="AA35"/>
      <c r="AB35"/>
      <c r="AC35"/>
      <c r="AD35"/>
      <c r="AE35"/>
      <c r="AF35"/>
      <c r="AG35"/>
      <c r="AH35"/>
    </row>
    <row r="36" spans="2:34" x14ac:dyDescent="0.2">
      <c r="H36"/>
      <c r="I36"/>
      <c r="J36"/>
      <c r="K36"/>
      <c r="L36"/>
      <c r="N36"/>
      <c r="O36"/>
      <c r="P36"/>
      <c r="Q36"/>
      <c r="R36"/>
      <c r="S36"/>
      <c r="T36"/>
      <c r="U36"/>
      <c r="V36"/>
      <c r="Z36"/>
      <c r="AA36"/>
      <c r="AB36"/>
      <c r="AC36"/>
      <c r="AD36"/>
      <c r="AE36"/>
      <c r="AF36"/>
      <c r="AG36"/>
      <c r="AH36"/>
    </row>
    <row r="37" spans="2:34" x14ac:dyDescent="0.2">
      <c r="B37"/>
      <c r="C37"/>
      <c r="H37"/>
      <c r="I37"/>
      <c r="J37"/>
      <c r="K37"/>
      <c r="L37"/>
      <c r="N37"/>
      <c r="O37"/>
      <c r="P37"/>
      <c r="Q37"/>
      <c r="R37"/>
      <c r="S37"/>
      <c r="T37"/>
      <c r="U37"/>
      <c r="V37"/>
      <c r="Z37"/>
      <c r="AA37"/>
      <c r="AB37"/>
      <c r="AC37"/>
      <c r="AD37"/>
      <c r="AE37"/>
      <c r="AF37"/>
      <c r="AG37"/>
      <c r="AH37"/>
    </row>
    <row r="38" spans="2:34" x14ac:dyDescent="0.2">
      <c r="B38"/>
      <c r="C38"/>
      <c r="H38"/>
      <c r="I38"/>
      <c r="J38"/>
      <c r="K38"/>
      <c r="L38"/>
      <c r="N38"/>
      <c r="O38"/>
      <c r="P38"/>
      <c r="Q38"/>
      <c r="R38"/>
      <c r="S38"/>
      <c r="T38"/>
      <c r="U38"/>
      <c r="V38"/>
      <c r="Z38"/>
      <c r="AA38"/>
      <c r="AB38"/>
      <c r="AC38"/>
      <c r="AD38"/>
      <c r="AE38"/>
      <c r="AF38"/>
      <c r="AG38"/>
      <c r="AH38"/>
    </row>
    <row r="39" spans="2:34" x14ac:dyDescent="0.2">
      <c r="B39"/>
      <c r="C39"/>
      <c r="H39"/>
      <c r="I39"/>
      <c r="J39"/>
      <c r="K39"/>
      <c r="L39"/>
      <c r="N39"/>
      <c r="O39"/>
      <c r="P39"/>
      <c r="Q39"/>
      <c r="R39"/>
      <c r="S39"/>
      <c r="T39"/>
      <c r="U39"/>
      <c r="V39"/>
      <c r="Z39"/>
      <c r="AA39"/>
      <c r="AB39"/>
      <c r="AC39"/>
      <c r="AD39"/>
      <c r="AE39"/>
      <c r="AF39"/>
      <c r="AG39"/>
      <c r="AH39"/>
    </row>
    <row r="40" spans="2:34" x14ac:dyDescent="0.2">
      <c r="B40"/>
      <c r="C40"/>
      <c r="H40"/>
      <c r="I40"/>
      <c r="J40"/>
      <c r="K40"/>
      <c r="L40"/>
      <c r="N40"/>
      <c r="O40"/>
      <c r="P40"/>
      <c r="Q40"/>
      <c r="R40"/>
      <c r="S40"/>
      <c r="T40"/>
      <c r="U40"/>
      <c r="V40"/>
      <c r="Z40"/>
      <c r="AA40"/>
      <c r="AB40"/>
      <c r="AC40"/>
      <c r="AD40"/>
      <c r="AE40"/>
      <c r="AF40"/>
      <c r="AG40"/>
      <c r="AH40"/>
    </row>
    <row r="41" spans="2:34" x14ac:dyDescent="0.2">
      <c r="B41"/>
      <c r="C41"/>
      <c r="H41"/>
      <c r="I41"/>
      <c r="J41"/>
      <c r="K41"/>
      <c r="L41"/>
      <c r="N41"/>
      <c r="O41"/>
      <c r="P41"/>
      <c r="Q41"/>
      <c r="R41"/>
      <c r="S41"/>
      <c r="T41"/>
      <c r="U41"/>
      <c r="V41"/>
      <c r="Z41"/>
      <c r="AA41"/>
      <c r="AB41"/>
      <c r="AC41"/>
      <c r="AD41"/>
      <c r="AE41"/>
      <c r="AF41"/>
      <c r="AG41"/>
      <c r="AH41"/>
    </row>
    <row r="42" spans="2:34" x14ac:dyDescent="0.2">
      <c r="B42"/>
      <c r="C42"/>
      <c r="H42"/>
      <c r="I42"/>
      <c r="J42"/>
      <c r="K42"/>
      <c r="L42"/>
      <c r="N42"/>
      <c r="O42"/>
      <c r="P42"/>
      <c r="Q42"/>
      <c r="R42"/>
      <c r="S42"/>
      <c r="T42"/>
      <c r="U42"/>
      <c r="V42"/>
      <c r="Z42"/>
      <c r="AA42"/>
      <c r="AB42"/>
      <c r="AC42"/>
      <c r="AD42"/>
      <c r="AE42"/>
      <c r="AF42"/>
      <c r="AG42"/>
      <c r="AH42"/>
    </row>
    <row r="43" spans="2:34" x14ac:dyDescent="0.2">
      <c r="B43"/>
      <c r="C43"/>
      <c r="H43"/>
      <c r="I43"/>
      <c r="J43"/>
      <c r="K43"/>
      <c r="L43"/>
      <c r="N43"/>
      <c r="O43"/>
      <c r="P43"/>
      <c r="Q43"/>
      <c r="R43"/>
      <c r="S43"/>
      <c r="T43"/>
      <c r="U43"/>
      <c r="V43"/>
      <c r="Z43"/>
      <c r="AA43"/>
      <c r="AB43"/>
      <c r="AC43"/>
      <c r="AD43"/>
      <c r="AE43"/>
      <c r="AF43"/>
      <c r="AG43"/>
      <c r="AH43"/>
    </row>
    <row r="44" spans="2:34" x14ac:dyDescent="0.2">
      <c r="B44"/>
      <c r="C44"/>
      <c r="H44"/>
      <c r="I44"/>
      <c r="J44"/>
      <c r="K44"/>
      <c r="L44"/>
      <c r="N44"/>
      <c r="O44"/>
      <c r="P44"/>
      <c r="Q44"/>
      <c r="R44"/>
      <c r="S44"/>
      <c r="T44"/>
      <c r="U44"/>
      <c r="V44"/>
      <c r="Z44"/>
      <c r="AA44"/>
      <c r="AB44"/>
      <c r="AC44"/>
      <c r="AD44"/>
      <c r="AE44"/>
      <c r="AF44"/>
      <c r="AG44"/>
      <c r="AH44"/>
    </row>
    <row r="45" spans="2:34" x14ac:dyDescent="0.2">
      <c r="B45"/>
      <c r="C45"/>
      <c r="H45"/>
      <c r="I45"/>
      <c r="J45"/>
      <c r="K45"/>
      <c r="L45"/>
      <c r="N45"/>
      <c r="O45"/>
      <c r="P45"/>
      <c r="Q45"/>
      <c r="R45"/>
      <c r="S45"/>
      <c r="T45"/>
      <c r="U45"/>
      <c r="V45"/>
      <c r="Z45"/>
      <c r="AA45"/>
      <c r="AB45"/>
      <c r="AC45"/>
      <c r="AD45"/>
      <c r="AE45"/>
      <c r="AF45"/>
      <c r="AG45"/>
      <c r="AH45"/>
    </row>
    <row r="46" spans="2:34" x14ac:dyDescent="0.2">
      <c r="B46"/>
      <c r="C46"/>
      <c r="H46"/>
      <c r="I46"/>
      <c r="J46"/>
      <c r="K46"/>
      <c r="L46"/>
      <c r="N46"/>
      <c r="O46"/>
      <c r="P46"/>
      <c r="Q46"/>
      <c r="R46"/>
      <c r="S46"/>
      <c r="T46"/>
      <c r="U46"/>
      <c r="V46"/>
      <c r="Z46"/>
      <c r="AA46"/>
      <c r="AB46"/>
      <c r="AC46"/>
      <c r="AD46"/>
      <c r="AE46"/>
      <c r="AF46"/>
      <c r="AG46"/>
      <c r="AH46"/>
    </row>
    <row r="47" spans="2:34" x14ac:dyDescent="0.2">
      <c r="B47"/>
      <c r="C47"/>
      <c r="H47"/>
      <c r="I47"/>
      <c r="J47"/>
      <c r="K47"/>
      <c r="L47"/>
      <c r="N47"/>
      <c r="O47"/>
      <c r="P47"/>
      <c r="Q47"/>
      <c r="R47"/>
      <c r="S47"/>
      <c r="T47"/>
      <c r="U47"/>
      <c r="V47"/>
      <c r="Z47"/>
      <c r="AA47"/>
      <c r="AB47"/>
      <c r="AC47"/>
      <c r="AD47"/>
      <c r="AE47"/>
      <c r="AF47"/>
      <c r="AG47"/>
      <c r="AH47"/>
    </row>
    <row r="48" spans="2:34" x14ac:dyDescent="0.2">
      <c r="B48"/>
      <c r="C48"/>
      <c r="H48"/>
      <c r="I48"/>
      <c r="J48"/>
      <c r="K48"/>
      <c r="L48"/>
      <c r="N48"/>
      <c r="O48"/>
      <c r="P48"/>
      <c r="Q48"/>
      <c r="R48"/>
      <c r="S48"/>
      <c r="T48"/>
      <c r="U48"/>
      <c r="V48"/>
      <c r="Z48"/>
      <c r="AA48"/>
      <c r="AB48"/>
      <c r="AC48"/>
      <c r="AD48"/>
      <c r="AE48"/>
      <c r="AF48"/>
      <c r="AG48"/>
      <c r="AH48"/>
    </row>
    <row r="49" spans="2:34" x14ac:dyDescent="0.2">
      <c r="B49"/>
      <c r="C49"/>
      <c r="H49"/>
      <c r="I49"/>
      <c r="J49"/>
      <c r="K49"/>
      <c r="L49"/>
      <c r="N49"/>
      <c r="O49"/>
      <c r="P49"/>
      <c r="Q49"/>
      <c r="R49"/>
      <c r="S49"/>
      <c r="T49"/>
      <c r="U49"/>
      <c r="V49"/>
      <c r="Z49"/>
      <c r="AA49"/>
      <c r="AB49"/>
      <c r="AC49"/>
      <c r="AD49"/>
      <c r="AE49"/>
      <c r="AF49"/>
      <c r="AG49"/>
      <c r="AH49"/>
    </row>
    <row r="50" spans="2:34" x14ac:dyDescent="0.2">
      <c r="B50"/>
      <c r="C50"/>
      <c r="H50"/>
      <c r="I50"/>
      <c r="J50"/>
      <c r="K50"/>
      <c r="L50"/>
      <c r="N50"/>
      <c r="O50"/>
      <c r="P50"/>
      <c r="Q50"/>
      <c r="R50"/>
      <c r="S50"/>
      <c r="T50"/>
      <c r="U50"/>
      <c r="V50"/>
      <c r="Z50"/>
      <c r="AA50"/>
      <c r="AB50"/>
      <c r="AC50"/>
      <c r="AD50"/>
      <c r="AE50"/>
      <c r="AF50"/>
      <c r="AG50"/>
      <c r="AH50"/>
    </row>
    <row r="51" spans="2:34" x14ac:dyDescent="0.2">
      <c r="H51"/>
      <c r="I51"/>
      <c r="J51"/>
      <c r="K51"/>
      <c r="L51"/>
      <c r="N51"/>
      <c r="O51"/>
      <c r="P51"/>
      <c r="Q51"/>
      <c r="R51"/>
      <c r="S51"/>
      <c r="T51"/>
      <c r="U51"/>
      <c r="V51"/>
      <c r="Z51"/>
      <c r="AA51"/>
      <c r="AB51"/>
      <c r="AC51"/>
      <c r="AD51"/>
      <c r="AE51"/>
      <c r="AF51"/>
      <c r="AG51"/>
      <c r="AH51"/>
    </row>
    <row r="52" spans="2:34" x14ac:dyDescent="0.2">
      <c r="H52"/>
      <c r="I52"/>
      <c r="J52"/>
      <c r="K52"/>
      <c r="L52"/>
      <c r="N52"/>
      <c r="O52"/>
      <c r="P52"/>
      <c r="Q52"/>
      <c r="R52"/>
      <c r="S52"/>
      <c r="T52"/>
      <c r="U52"/>
      <c r="V52"/>
      <c r="Z52"/>
      <c r="AA52"/>
      <c r="AB52"/>
      <c r="AC52"/>
      <c r="AD52"/>
      <c r="AE52"/>
      <c r="AF52"/>
      <c r="AG52"/>
      <c r="AH52"/>
    </row>
    <row r="53" spans="2:34" x14ac:dyDescent="0.2">
      <c r="H53"/>
      <c r="I53"/>
      <c r="J53"/>
      <c r="K53"/>
      <c r="L53"/>
      <c r="N53"/>
      <c r="O53"/>
      <c r="P53"/>
      <c r="Q53"/>
      <c r="R53"/>
      <c r="S53"/>
      <c r="T53"/>
      <c r="U53"/>
      <c r="V53"/>
      <c r="Z53"/>
      <c r="AA53"/>
      <c r="AB53"/>
      <c r="AC53"/>
      <c r="AD53"/>
      <c r="AE53"/>
      <c r="AF53"/>
      <c r="AG53"/>
      <c r="AH53"/>
    </row>
    <row r="54" spans="2:34" x14ac:dyDescent="0.2">
      <c r="B54"/>
      <c r="C54"/>
      <c r="H54"/>
      <c r="I54"/>
      <c r="J54"/>
      <c r="K54"/>
      <c r="L54"/>
      <c r="N54"/>
      <c r="O54"/>
      <c r="P54"/>
      <c r="Q54"/>
      <c r="R54"/>
      <c r="S54"/>
      <c r="T54"/>
      <c r="U54"/>
      <c r="V54"/>
      <c r="Z54"/>
      <c r="AA54"/>
      <c r="AB54"/>
      <c r="AC54"/>
      <c r="AD54"/>
      <c r="AE54"/>
      <c r="AF54"/>
      <c r="AG54"/>
      <c r="AH54"/>
    </row>
    <row r="55" spans="2:34" x14ac:dyDescent="0.2">
      <c r="B55"/>
      <c r="C55"/>
      <c r="H55"/>
      <c r="I55"/>
      <c r="J55"/>
      <c r="K55"/>
      <c r="L55"/>
      <c r="N55"/>
      <c r="O55"/>
      <c r="P55"/>
      <c r="Q55"/>
      <c r="R55"/>
      <c r="S55"/>
      <c r="T55"/>
      <c r="U55"/>
      <c r="V55"/>
      <c r="Z55"/>
      <c r="AA55"/>
      <c r="AB55"/>
      <c r="AC55"/>
      <c r="AD55"/>
      <c r="AE55"/>
      <c r="AF55"/>
      <c r="AG55"/>
      <c r="AH55"/>
    </row>
    <row r="56" spans="2:34" x14ac:dyDescent="0.2">
      <c r="B56"/>
      <c r="C56"/>
      <c r="H56"/>
      <c r="I56"/>
      <c r="J56"/>
      <c r="K56"/>
      <c r="L56"/>
      <c r="N56"/>
      <c r="O56"/>
      <c r="P56"/>
      <c r="Q56"/>
      <c r="R56"/>
      <c r="S56"/>
      <c r="T56"/>
      <c r="U56"/>
      <c r="V56"/>
      <c r="Z56"/>
      <c r="AA56"/>
      <c r="AB56"/>
      <c r="AC56"/>
      <c r="AD56"/>
      <c r="AE56"/>
      <c r="AF56"/>
      <c r="AG56"/>
      <c r="AH56"/>
    </row>
    <row r="57" spans="2:34" x14ac:dyDescent="0.2">
      <c r="H57"/>
      <c r="I57"/>
      <c r="J57"/>
      <c r="K57"/>
      <c r="L57"/>
      <c r="N57"/>
      <c r="O57"/>
      <c r="P57"/>
      <c r="Q57"/>
      <c r="R57"/>
      <c r="S57"/>
      <c r="T57"/>
      <c r="U57"/>
      <c r="V57"/>
      <c r="Z57"/>
      <c r="AA57"/>
      <c r="AB57"/>
      <c r="AC57"/>
      <c r="AD57"/>
      <c r="AE57"/>
      <c r="AF57"/>
      <c r="AG57"/>
      <c r="AH57"/>
    </row>
    <row r="58" spans="2:34" x14ac:dyDescent="0.2">
      <c r="H58"/>
      <c r="I58"/>
      <c r="J58"/>
      <c r="K58"/>
      <c r="L58"/>
      <c r="N58"/>
      <c r="O58"/>
      <c r="P58"/>
      <c r="Q58"/>
      <c r="R58"/>
      <c r="S58"/>
      <c r="T58"/>
      <c r="U58"/>
      <c r="V58"/>
      <c r="Z58"/>
      <c r="AA58"/>
      <c r="AB58"/>
      <c r="AC58"/>
      <c r="AD58"/>
      <c r="AE58"/>
      <c r="AF58"/>
      <c r="AG58"/>
      <c r="AH58"/>
    </row>
    <row r="59" spans="2:34" x14ac:dyDescent="0.2">
      <c r="H59"/>
      <c r="I59"/>
      <c r="J59"/>
      <c r="K59"/>
      <c r="L59"/>
      <c r="N59"/>
      <c r="O59"/>
      <c r="P59"/>
      <c r="Q59"/>
      <c r="R59"/>
      <c r="S59"/>
      <c r="T59"/>
      <c r="U59"/>
      <c r="V59"/>
      <c r="Z59"/>
      <c r="AA59"/>
      <c r="AB59"/>
      <c r="AC59"/>
      <c r="AD59"/>
      <c r="AE59"/>
      <c r="AF59"/>
      <c r="AG59"/>
      <c r="AH59"/>
    </row>
    <row r="60" spans="2:34" x14ac:dyDescent="0.2">
      <c r="H60"/>
      <c r="I60"/>
      <c r="J60"/>
      <c r="K60"/>
      <c r="L60"/>
      <c r="N60"/>
      <c r="O60"/>
      <c r="P60"/>
      <c r="Q60"/>
      <c r="R60"/>
      <c r="S60"/>
      <c r="T60"/>
      <c r="U60"/>
      <c r="V60"/>
      <c r="Z60"/>
      <c r="AA60"/>
      <c r="AB60"/>
      <c r="AC60"/>
      <c r="AD60"/>
      <c r="AE60"/>
      <c r="AF60"/>
      <c r="AG60"/>
      <c r="AH60"/>
    </row>
    <row r="61" spans="2:34" x14ac:dyDescent="0.2">
      <c r="H61"/>
      <c r="I61"/>
      <c r="J61"/>
      <c r="K61"/>
      <c r="L61"/>
      <c r="N61"/>
      <c r="O61"/>
      <c r="P61"/>
      <c r="Q61"/>
      <c r="R61"/>
      <c r="S61"/>
      <c r="T61"/>
      <c r="U61"/>
      <c r="V61"/>
      <c r="Z61"/>
      <c r="AA61"/>
      <c r="AB61"/>
      <c r="AC61"/>
      <c r="AD61"/>
      <c r="AE61"/>
      <c r="AF61"/>
      <c r="AG61"/>
      <c r="AH61"/>
    </row>
    <row r="62" spans="2:34" x14ac:dyDescent="0.2">
      <c r="H62"/>
      <c r="I62"/>
      <c r="J62"/>
      <c r="K62"/>
      <c r="L62"/>
      <c r="N62"/>
      <c r="O62"/>
      <c r="P62"/>
      <c r="Q62"/>
      <c r="R62"/>
      <c r="S62"/>
      <c r="T62"/>
      <c r="U62"/>
      <c r="V62"/>
      <c r="Z62"/>
      <c r="AA62"/>
      <c r="AB62"/>
      <c r="AC62"/>
      <c r="AD62"/>
      <c r="AE62"/>
      <c r="AF62"/>
      <c r="AG62"/>
      <c r="AH62"/>
    </row>
    <row r="63" spans="2:34" x14ac:dyDescent="0.2">
      <c r="H63"/>
      <c r="I63"/>
      <c r="J63"/>
      <c r="K63"/>
      <c r="L63"/>
      <c r="N63"/>
      <c r="O63"/>
      <c r="P63"/>
      <c r="Q63"/>
      <c r="R63"/>
      <c r="S63"/>
      <c r="T63"/>
      <c r="U63"/>
      <c r="V63"/>
      <c r="Z63"/>
      <c r="AA63"/>
      <c r="AB63"/>
      <c r="AC63"/>
      <c r="AD63"/>
      <c r="AE63"/>
      <c r="AF63"/>
      <c r="AG63"/>
      <c r="AH63"/>
    </row>
    <row r="64" spans="2:34" x14ac:dyDescent="0.2">
      <c r="H64"/>
      <c r="I64"/>
      <c r="J64"/>
      <c r="K64"/>
      <c r="L64"/>
      <c r="N64"/>
      <c r="O64"/>
      <c r="P64"/>
      <c r="Q64"/>
      <c r="R64"/>
      <c r="S64"/>
      <c r="T64"/>
      <c r="U64"/>
      <c r="V64"/>
      <c r="Z64"/>
      <c r="AA64"/>
      <c r="AB64"/>
      <c r="AC64"/>
      <c r="AD64"/>
      <c r="AE64"/>
      <c r="AF64"/>
      <c r="AG64"/>
      <c r="AH64"/>
    </row>
    <row r="65" spans="8:34" x14ac:dyDescent="0.2">
      <c r="H65"/>
      <c r="I65"/>
      <c r="J65"/>
      <c r="K65"/>
      <c r="L65"/>
      <c r="N65"/>
      <c r="O65"/>
      <c r="P65"/>
      <c r="Q65"/>
      <c r="R65"/>
      <c r="S65"/>
      <c r="T65"/>
      <c r="U65"/>
      <c r="V65"/>
      <c r="Z65"/>
      <c r="AA65"/>
      <c r="AB65"/>
      <c r="AC65"/>
      <c r="AD65"/>
      <c r="AE65"/>
      <c r="AF65"/>
      <c r="AG65"/>
      <c r="AH65"/>
    </row>
    <row r="66" spans="8:34" x14ac:dyDescent="0.2">
      <c r="H66"/>
      <c r="I66"/>
      <c r="J66"/>
      <c r="K66"/>
      <c r="L66"/>
      <c r="N66"/>
      <c r="O66"/>
      <c r="P66"/>
      <c r="Q66"/>
      <c r="R66"/>
      <c r="S66"/>
      <c r="T66"/>
      <c r="U66"/>
      <c r="V66"/>
      <c r="Z66"/>
      <c r="AA66"/>
      <c r="AB66"/>
      <c r="AC66"/>
      <c r="AD66"/>
      <c r="AE66"/>
      <c r="AF66"/>
      <c r="AG66"/>
      <c r="AH66"/>
    </row>
    <row r="67" spans="8:34" x14ac:dyDescent="0.2">
      <c r="H67"/>
      <c r="I67"/>
      <c r="J67"/>
      <c r="K67"/>
      <c r="L67"/>
      <c r="N67"/>
      <c r="O67"/>
      <c r="P67"/>
      <c r="Q67"/>
      <c r="R67"/>
      <c r="S67"/>
      <c r="T67"/>
      <c r="U67"/>
      <c r="V67"/>
      <c r="Z67"/>
      <c r="AA67"/>
      <c r="AB67"/>
      <c r="AC67"/>
      <c r="AD67"/>
      <c r="AE67"/>
      <c r="AF67"/>
      <c r="AG67"/>
      <c r="AH67"/>
    </row>
    <row r="68" spans="8:34" x14ac:dyDescent="0.2">
      <c r="H68"/>
      <c r="I68"/>
      <c r="J68"/>
      <c r="K68"/>
      <c r="L68"/>
      <c r="N68"/>
      <c r="O68"/>
      <c r="P68"/>
      <c r="Q68"/>
      <c r="R68"/>
      <c r="S68"/>
      <c r="T68"/>
      <c r="U68"/>
      <c r="V68"/>
      <c r="Z68"/>
      <c r="AA68"/>
      <c r="AB68"/>
      <c r="AC68"/>
      <c r="AD68"/>
      <c r="AE68"/>
      <c r="AF68"/>
      <c r="AG68"/>
      <c r="AH68"/>
    </row>
    <row r="69" spans="8:34" x14ac:dyDescent="0.2">
      <c r="N69"/>
      <c r="O69"/>
      <c r="P69"/>
      <c r="Q69"/>
      <c r="R69"/>
      <c r="S69"/>
      <c r="T69"/>
      <c r="U69"/>
      <c r="V69"/>
      <c r="Z69"/>
      <c r="AA69"/>
      <c r="AB69"/>
      <c r="AC69"/>
      <c r="AD69"/>
      <c r="AE69"/>
      <c r="AF69"/>
      <c r="AG69"/>
      <c r="AH69"/>
    </row>
    <row r="70" spans="8:34" x14ac:dyDescent="0.2">
      <c r="N70"/>
      <c r="O70"/>
      <c r="P70"/>
      <c r="Q70"/>
      <c r="R70"/>
      <c r="S70"/>
      <c r="T70"/>
      <c r="U70"/>
      <c r="V70"/>
      <c r="Z70"/>
      <c r="AA70"/>
      <c r="AB70"/>
      <c r="AC70"/>
      <c r="AD70"/>
      <c r="AE70"/>
      <c r="AF70"/>
      <c r="AG70"/>
      <c r="AH70"/>
    </row>
    <row r="71" spans="8:34" x14ac:dyDescent="0.2">
      <c r="N71"/>
      <c r="O71"/>
      <c r="P71"/>
      <c r="Q71"/>
      <c r="R71"/>
      <c r="S71"/>
      <c r="T71"/>
      <c r="U71"/>
      <c r="V71"/>
      <c r="Z71"/>
      <c r="AA71"/>
      <c r="AB71"/>
      <c r="AC71"/>
      <c r="AD71"/>
      <c r="AE71"/>
      <c r="AF71"/>
      <c r="AG71"/>
      <c r="AH71"/>
    </row>
    <row r="72" spans="8:34" x14ac:dyDescent="0.2">
      <c r="N72"/>
      <c r="O72"/>
      <c r="P72"/>
      <c r="Q72"/>
      <c r="R72"/>
      <c r="S72"/>
      <c r="T72"/>
      <c r="U72"/>
      <c r="V72"/>
      <c r="Z72"/>
      <c r="AA72"/>
      <c r="AB72"/>
      <c r="AC72"/>
      <c r="AD72"/>
      <c r="AE72"/>
      <c r="AF72"/>
      <c r="AG72"/>
      <c r="AH72"/>
    </row>
    <row r="73" spans="8:34" x14ac:dyDescent="0.2">
      <c r="N73"/>
      <c r="O73"/>
      <c r="P73"/>
      <c r="Q73"/>
      <c r="R73"/>
      <c r="S73"/>
      <c r="T73"/>
      <c r="U73"/>
      <c r="V73"/>
      <c r="Z73"/>
      <c r="AA73"/>
      <c r="AB73"/>
      <c r="AC73"/>
      <c r="AD73"/>
      <c r="AE73"/>
      <c r="AF73"/>
      <c r="AG73"/>
      <c r="AH73"/>
    </row>
    <row r="74" spans="8:34" x14ac:dyDescent="0.2">
      <c r="N74"/>
      <c r="O74"/>
      <c r="P74"/>
      <c r="Q74"/>
      <c r="R74"/>
      <c r="S74"/>
      <c r="T74"/>
      <c r="U74"/>
      <c r="V74"/>
      <c r="Z74"/>
      <c r="AA74"/>
      <c r="AB74"/>
      <c r="AC74"/>
      <c r="AD74"/>
      <c r="AE74"/>
      <c r="AF74"/>
      <c r="AG74"/>
      <c r="AH74"/>
    </row>
    <row r="75" spans="8:34" x14ac:dyDescent="0.2">
      <c r="N75"/>
      <c r="O75"/>
      <c r="P75"/>
      <c r="Q75"/>
      <c r="R75"/>
      <c r="S75"/>
      <c r="T75"/>
      <c r="U75"/>
      <c r="V75"/>
      <c r="Z75"/>
      <c r="AA75"/>
      <c r="AB75"/>
      <c r="AC75"/>
      <c r="AD75"/>
      <c r="AE75"/>
      <c r="AF75"/>
      <c r="AG75"/>
      <c r="AH75"/>
    </row>
    <row r="76" spans="8:34" x14ac:dyDescent="0.2">
      <c r="N76"/>
      <c r="O76"/>
      <c r="P76"/>
      <c r="Q76"/>
      <c r="R76"/>
      <c r="S76"/>
      <c r="T76"/>
      <c r="U76"/>
      <c r="V76"/>
      <c r="Z76"/>
      <c r="AA76"/>
      <c r="AB76"/>
      <c r="AC76"/>
      <c r="AD76"/>
      <c r="AE76"/>
      <c r="AF76"/>
      <c r="AG76"/>
      <c r="AH76"/>
    </row>
    <row r="77" spans="8:34" x14ac:dyDescent="0.2">
      <c r="N77"/>
      <c r="O77"/>
      <c r="P77"/>
      <c r="Q77"/>
      <c r="R77"/>
      <c r="S77"/>
      <c r="T77"/>
      <c r="U77"/>
      <c r="V77"/>
      <c r="Z77"/>
      <c r="AA77"/>
      <c r="AB77"/>
      <c r="AC77"/>
      <c r="AD77"/>
      <c r="AE77"/>
      <c r="AF77"/>
      <c r="AG77"/>
      <c r="AH77"/>
    </row>
    <row r="78" spans="8:34" x14ac:dyDescent="0.2">
      <c r="N78"/>
      <c r="O78"/>
      <c r="P78"/>
      <c r="Q78"/>
      <c r="R78"/>
      <c r="S78"/>
      <c r="T78"/>
      <c r="U78"/>
      <c r="V78"/>
      <c r="Z78"/>
      <c r="AA78"/>
      <c r="AB78"/>
      <c r="AC78"/>
      <c r="AD78"/>
      <c r="AE78"/>
      <c r="AF78"/>
      <c r="AG78"/>
      <c r="AH78"/>
    </row>
    <row r="79" spans="8:34" x14ac:dyDescent="0.2">
      <c r="N79"/>
      <c r="O79"/>
      <c r="P79"/>
      <c r="Q79"/>
      <c r="R79"/>
      <c r="S79"/>
      <c r="T79"/>
      <c r="U79"/>
      <c r="V79"/>
      <c r="Z79"/>
      <c r="AA79"/>
      <c r="AB79"/>
      <c r="AC79"/>
      <c r="AD79"/>
      <c r="AE79"/>
      <c r="AF79"/>
      <c r="AG79"/>
      <c r="AH79"/>
    </row>
    <row r="80" spans="8:34" x14ac:dyDescent="0.2">
      <c r="N80"/>
      <c r="O80"/>
      <c r="P80"/>
      <c r="Q80"/>
      <c r="R80"/>
      <c r="S80"/>
      <c r="T80"/>
      <c r="U80"/>
      <c r="V80"/>
      <c r="Z80"/>
      <c r="AA80"/>
      <c r="AB80"/>
      <c r="AC80"/>
      <c r="AD80"/>
      <c r="AE80"/>
      <c r="AF80"/>
      <c r="AG80"/>
      <c r="AH80"/>
    </row>
    <row r="81" spans="14:34" x14ac:dyDescent="0.2">
      <c r="N81"/>
      <c r="O81"/>
      <c r="P81"/>
      <c r="Q81"/>
      <c r="R81"/>
      <c r="S81"/>
      <c r="T81"/>
      <c r="U81"/>
      <c r="V81"/>
      <c r="Z81"/>
      <c r="AA81"/>
      <c r="AB81"/>
      <c r="AC81"/>
      <c r="AD81"/>
      <c r="AE81"/>
      <c r="AF81"/>
      <c r="AG81"/>
      <c r="AH81"/>
    </row>
    <row r="82" spans="14:34" x14ac:dyDescent="0.2">
      <c r="N82"/>
      <c r="O82"/>
      <c r="P82"/>
      <c r="Q82"/>
      <c r="R82"/>
      <c r="S82"/>
      <c r="T82"/>
      <c r="U82"/>
      <c r="V82"/>
      <c r="Z82"/>
      <c r="AA82"/>
      <c r="AB82"/>
      <c r="AC82"/>
      <c r="AD82"/>
      <c r="AE82"/>
      <c r="AF82"/>
      <c r="AG82"/>
      <c r="AH82"/>
    </row>
    <row r="83" spans="14:34" x14ac:dyDescent="0.2">
      <c r="N83"/>
      <c r="O83"/>
      <c r="P83"/>
      <c r="Q83"/>
      <c r="R83"/>
      <c r="S83"/>
      <c r="T83"/>
      <c r="U83"/>
      <c r="V83"/>
      <c r="Z83"/>
      <c r="AA83"/>
      <c r="AB83"/>
      <c r="AC83"/>
      <c r="AD83"/>
      <c r="AE83"/>
      <c r="AF83"/>
      <c r="AG83"/>
      <c r="AH83"/>
    </row>
    <row r="84" spans="14:34" x14ac:dyDescent="0.2">
      <c r="N84"/>
      <c r="O84"/>
      <c r="P84"/>
      <c r="Q84"/>
      <c r="R84"/>
      <c r="S84"/>
      <c r="T84"/>
      <c r="U84"/>
      <c r="V84"/>
      <c r="Z84"/>
      <c r="AA84"/>
      <c r="AB84"/>
      <c r="AC84"/>
      <c r="AD84"/>
      <c r="AE84"/>
      <c r="AF84"/>
      <c r="AG84"/>
      <c r="AH84"/>
    </row>
    <row r="85" spans="14:34" x14ac:dyDescent="0.2">
      <c r="N85"/>
      <c r="O85"/>
      <c r="P85"/>
      <c r="Q85"/>
      <c r="R85"/>
      <c r="S85"/>
      <c r="T85"/>
      <c r="U85"/>
      <c r="V85"/>
      <c r="Z85"/>
      <c r="AA85"/>
      <c r="AB85"/>
      <c r="AC85"/>
      <c r="AD85"/>
      <c r="AE85"/>
      <c r="AF85"/>
      <c r="AG85"/>
      <c r="AH85"/>
    </row>
    <row r="86" spans="14:34" x14ac:dyDescent="0.2">
      <c r="N86"/>
      <c r="O86"/>
      <c r="P86"/>
      <c r="Q86"/>
      <c r="R86"/>
      <c r="S86"/>
      <c r="T86"/>
      <c r="U86"/>
      <c r="V86"/>
      <c r="Z86"/>
      <c r="AA86"/>
      <c r="AB86"/>
      <c r="AC86"/>
      <c r="AD86"/>
      <c r="AE86"/>
      <c r="AF86"/>
      <c r="AG86"/>
      <c r="AH86"/>
    </row>
    <row r="87" spans="14:34" x14ac:dyDescent="0.2">
      <c r="N87"/>
      <c r="O87"/>
      <c r="P87"/>
      <c r="Q87"/>
      <c r="R87"/>
      <c r="S87"/>
      <c r="T87"/>
      <c r="U87"/>
      <c r="V87"/>
      <c r="Z87"/>
      <c r="AA87"/>
      <c r="AB87"/>
      <c r="AC87"/>
      <c r="AD87"/>
      <c r="AE87"/>
      <c r="AF87"/>
      <c r="AG87"/>
      <c r="AH87"/>
    </row>
    <row r="88" spans="14:34" x14ac:dyDescent="0.2">
      <c r="N88"/>
      <c r="O88"/>
      <c r="P88"/>
      <c r="Q88"/>
      <c r="R88"/>
      <c r="S88"/>
      <c r="T88"/>
      <c r="U88"/>
      <c r="V88"/>
      <c r="Z88"/>
      <c r="AA88"/>
      <c r="AB88"/>
      <c r="AC88"/>
      <c r="AD88"/>
      <c r="AE88"/>
      <c r="AF88"/>
      <c r="AG88"/>
      <c r="AH88"/>
    </row>
    <row r="89" spans="14:34" x14ac:dyDescent="0.2">
      <c r="N89"/>
      <c r="O89"/>
      <c r="P89"/>
      <c r="Q89"/>
      <c r="R89"/>
      <c r="S89"/>
      <c r="T89"/>
      <c r="U89"/>
      <c r="V89"/>
      <c r="Z89"/>
      <c r="AA89"/>
      <c r="AB89"/>
      <c r="AC89"/>
      <c r="AD89"/>
      <c r="AE89"/>
      <c r="AF89"/>
      <c r="AG89"/>
      <c r="AH89"/>
    </row>
    <row r="90" spans="14:34" x14ac:dyDescent="0.2">
      <c r="N90"/>
      <c r="O90"/>
      <c r="P90"/>
      <c r="Q90"/>
      <c r="R90"/>
      <c r="S90"/>
      <c r="T90"/>
      <c r="U90"/>
      <c r="V90"/>
      <c r="Z90"/>
      <c r="AA90"/>
      <c r="AB90"/>
      <c r="AC90"/>
      <c r="AD90"/>
      <c r="AE90"/>
      <c r="AF90"/>
      <c r="AG90"/>
      <c r="AH90"/>
    </row>
    <row r="91" spans="14:34" x14ac:dyDescent="0.2">
      <c r="N91"/>
      <c r="O91"/>
      <c r="P91"/>
      <c r="Q91"/>
      <c r="R91"/>
      <c r="S91"/>
      <c r="T91"/>
      <c r="U91"/>
      <c r="V91"/>
      <c r="Z91"/>
      <c r="AA91"/>
      <c r="AB91"/>
      <c r="AC91"/>
      <c r="AD91"/>
      <c r="AE91"/>
      <c r="AF91"/>
      <c r="AG91"/>
      <c r="AH91"/>
    </row>
    <row r="92" spans="14:34" x14ac:dyDescent="0.2">
      <c r="N92"/>
      <c r="O92"/>
      <c r="P92"/>
      <c r="Q92"/>
      <c r="R92"/>
      <c r="S92"/>
      <c r="T92"/>
      <c r="U92"/>
      <c r="V92"/>
      <c r="Z92"/>
      <c r="AA92"/>
      <c r="AB92"/>
      <c r="AC92"/>
      <c r="AD92"/>
      <c r="AE92"/>
      <c r="AF92"/>
      <c r="AG92"/>
      <c r="AH92"/>
    </row>
    <row r="93" spans="14:34" x14ac:dyDescent="0.2">
      <c r="N93"/>
      <c r="O93"/>
      <c r="P93"/>
      <c r="Q93"/>
      <c r="R93"/>
      <c r="S93"/>
      <c r="T93"/>
      <c r="U93"/>
      <c r="V93"/>
      <c r="Z93"/>
      <c r="AA93"/>
      <c r="AB93"/>
      <c r="AC93"/>
      <c r="AD93"/>
      <c r="AE93"/>
      <c r="AF93"/>
      <c r="AG93"/>
      <c r="AH93"/>
    </row>
    <row r="94" spans="14:34" x14ac:dyDescent="0.2">
      <c r="N94"/>
      <c r="O94"/>
      <c r="P94"/>
      <c r="Q94"/>
      <c r="R94"/>
      <c r="S94"/>
      <c r="T94"/>
      <c r="U94"/>
      <c r="V94"/>
      <c r="Z94"/>
      <c r="AA94"/>
      <c r="AB94"/>
      <c r="AC94"/>
      <c r="AD94"/>
      <c r="AE94"/>
      <c r="AF94"/>
      <c r="AG94"/>
      <c r="AH94"/>
    </row>
    <row r="95" spans="14:34" x14ac:dyDescent="0.2">
      <c r="N95"/>
      <c r="O95"/>
      <c r="P95"/>
      <c r="Q95"/>
      <c r="R95"/>
      <c r="S95"/>
      <c r="T95"/>
      <c r="U95"/>
      <c r="V95"/>
      <c r="Z95"/>
      <c r="AA95"/>
      <c r="AB95"/>
      <c r="AC95"/>
      <c r="AD95"/>
      <c r="AE95"/>
      <c r="AF95"/>
      <c r="AG95"/>
      <c r="AH95"/>
    </row>
    <row r="96" spans="14:34" x14ac:dyDescent="0.2">
      <c r="N96"/>
      <c r="O96"/>
      <c r="P96"/>
      <c r="Q96"/>
      <c r="R96"/>
      <c r="S96"/>
      <c r="T96"/>
      <c r="U96"/>
      <c r="V96"/>
      <c r="Z96"/>
      <c r="AA96"/>
      <c r="AB96"/>
      <c r="AC96"/>
      <c r="AD96"/>
      <c r="AE96"/>
      <c r="AF96"/>
      <c r="AG96"/>
      <c r="AH96"/>
    </row>
    <row r="97" spans="14:34" x14ac:dyDescent="0.2">
      <c r="N97"/>
      <c r="O97"/>
      <c r="P97"/>
      <c r="Q97"/>
      <c r="R97"/>
      <c r="S97"/>
      <c r="T97"/>
      <c r="U97"/>
      <c r="V97"/>
      <c r="Z97"/>
      <c r="AA97"/>
      <c r="AB97"/>
      <c r="AC97"/>
      <c r="AD97"/>
      <c r="AE97"/>
      <c r="AF97"/>
      <c r="AG97"/>
      <c r="AH97"/>
    </row>
    <row r="98" spans="14:34" x14ac:dyDescent="0.2">
      <c r="N98"/>
      <c r="O98"/>
      <c r="P98"/>
      <c r="Q98"/>
      <c r="R98"/>
      <c r="S98"/>
      <c r="T98"/>
      <c r="U98"/>
      <c r="V98"/>
      <c r="Z98"/>
      <c r="AA98"/>
      <c r="AB98"/>
      <c r="AC98"/>
      <c r="AD98"/>
      <c r="AE98"/>
      <c r="AF98"/>
      <c r="AG98"/>
      <c r="AH98"/>
    </row>
    <row r="99" spans="14:34" x14ac:dyDescent="0.2">
      <c r="N99"/>
      <c r="O99"/>
      <c r="P99"/>
      <c r="Q99"/>
      <c r="R99"/>
      <c r="S99"/>
      <c r="T99"/>
      <c r="U99"/>
      <c r="V99"/>
    </row>
    <row r="100" spans="14:34" x14ac:dyDescent="0.2">
      <c r="N100"/>
      <c r="O100"/>
      <c r="P100"/>
      <c r="Q100"/>
      <c r="R100"/>
      <c r="S100"/>
      <c r="T100"/>
      <c r="U100"/>
      <c r="V100"/>
    </row>
    <row r="101" spans="14:34" x14ac:dyDescent="0.2">
      <c r="N101"/>
      <c r="O101"/>
      <c r="P101"/>
      <c r="Q101"/>
      <c r="R101"/>
      <c r="S101"/>
      <c r="T101"/>
      <c r="U101"/>
      <c r="V101"/>
    </row>
    <row r="102" spans="14:34" x14ac:dyDescent="0.2">
      <c r="N102"/>
      <c r="O102"/>
      <c r="P102"/>
      <c r="Q102"/>
      <c r="R102"/>
      <c r="S102"/>
      <c r="T102"/>
      <c r="U102"/>
      <c r="V102"/>
    </row>
    <row r="103" spans="14:34" x14ac:dyDescent="0.2">
      <c r="N103"/>
      <c r="O103"/>
      <c r="P103"/>
      <c r="Q103"/>
      <c r="R103"/>
      <c r="S103"/>
      <c r="T103"/>
      <c r="U103"/>
      <c r="V103"/>
    </row>
    <row r="104" spans="14:34" x14ac:dyDescent="0.2">
      <c r="N104"/>
      <c r="O104"/>
      <c r="P104"/>
      <c r="Q104"/>
      <c r="R104"/>
      <c r="S104"/>
      <c r="T104"/>
      <c r="U104"/>
      <c r="V104"/>
    </row>
    <row r="105" spans="14:34" x14ac:dyDescent="0.2">
      <c r="N105"/>
      <c r="O105"/>
      <c r="P105"/>
      <c r="Q105"/>
      <c r="R105"/>
      <c r="S105"/>
      <c r="T105"/>
      <c r="U105"/>
      <c r="V105"/>
    </row>
    <row r="106" spans="14:34" x14ac:dyDescent="0.2">
      <c r="N106"/>
      <c r="O106"/>
      <c r="P106"/>
      <c r="Q106"/>
      <c r="R106"/>
      <c r="S106"/>
      <c r="T106"/>
      <c r="U106"/>
      <c r="V106"/>
    </row>
    <row r="107" spans="14:34" x14ac:dyDescent="0.2">
      <c r="N107"/>
      <c r="O107"/>
      <c r="P107"/>
      <c r="Q107"/>
      <c r="R107"/>
      <c r="S107"/>
      <c r="T107"/>
      <c r="U107"/>
      <c r="V107"/>
    </row>
    <row r="108" spans="14:34" x14ac:dyDescent="0.2">
      <c r="N108"/>
      <c r="O108"/>
      <c r="P108"/>
      <c r="Q108"/>
      <c r="R108"/>
      <c r="S108"/>
      <c r="T108"/>
      <c r="U108"/>
      <c r="V108"/>
    </row>
    <row r="109" spans="14:34" x14ac:dyDescent="0.2">
      <c r="N109"/>
      <c r="O109"/>
      <c r="P109"/>
      <c r="Q109"/>
      <c r="R109"/>
      <c r="S109"/>
      <c r="T109"/>
      <c r="U109"/>
      <c r="V109"/>
    </row>
    <row r="110" spans="14:34" x14ac:dyDescent="0.2">
      <c r="N110"/>
      <c r="O110"/>
      <c r="P110"/>
      <c r="Q110"/>
      <c r="R110"/>
      <c r="S110"/>
      <c r="T110"/>
      <c r="U110"/>
      <c r="V110"/>
    </row>
    <row r="111" spans="14:34" x14ac:dyDescent="0.2">
      <c r="N111"/>
      <c r="O111"/>
      <c r="P111"/>
      <c r="Q111"/>
      <c r="R111"/>
      <c r="S111"/>
      <c r="T111"/>
      <c r="U111"/>
      <c r="V111"/>
    </row>
    <row r="112" spans="14:34" x14ac:dyDescent="0.2">
      <c r="N112"/>
      <c r="O112"/>
      <c r="P112"/>
      <c r="Q112"/>
      <c r="R112"/>
      <c r="S112"/>
      <c r="T112"/>
      <c r="U112"/>
      <c r="V112"/>
    </row>
    <row r="113" spans="14:22" x14ac:dyDescent="0.2">
      <c r="N113"/>
      <c r="O113"/>
      <c r="P113"/>
      <c r="Q113"/>
      <c r="R113"/>
      <c r="S113"/>
      <c r="T113"/>
      <c r="U113"/>
      <c r="V113"/>
    </row>
    <row r="114" spans="14:22" x14ac:dyDescent="0.2">
      <c r="N114"/>
      <c r="O114"/>
      <c r="P114"/>
      <c r="Q114"/>
      <c r="R114"/>
      <c r="S114"/>
      <c r="T114"/>
      <c r="U114"/>
      <c r="V114"/>
    </row>
    <row r="115" spans="14:22" x14ac:dyDescent="0.2">
      <c r="N115"/>
      <c r="O115"/>
      <c r="P115"/>
      <c r="Q115"/>
      <c r="R115"/>
      <c r="S115"/>
      <c r="T115"/>
      <c r="U115"/>
      <c r="V115"/>
    </row>
    <row r="116" spans="14:22" x14ac:dyDescent="0.2">
      <c r="N116"/>
      <c r="O116"/>
      <c r="P116"/>
      <c r="Q116"/>
      <c r="R116"/>
      <c r="S116"/>
      <c r="T116"/>
      <c r="U116"/>
      <c r="V116"/>
    </row>
    <row r="117" spans="14:22" x14ac:dyDescent="0.2">
      <c r="N117"/>
      <c r="O117"/>
      <c r="P117"/>
      <c r="Q117"/>
      <c r="R117"/>
      <c r="S117"/>
      <c r="T117"/>
      <c r="U117"/>
      <c r="V117"/>
    </row>
    <row r="118" spans="14:22" x14ac:dyDescent="0.2">
      <c r="N118"/>
      <c r="O118"/>
      <c r="P118"/>
      <c r="Q118"/>
      <c r="R118"/>
      <c r="S118"/>
      <c r="T118"/>
      <c r="U118"/>
      <c r="V118"/>
    </row>
    <row r="119" spans="14:22" x14ac:dyDescent="0.2">
      <c r="N119"/>
      <c r="O119"/>
      <c r="P119"/>
      <c r="Q119"/>
      <c r="R119"/>
      <c r="S119"/>
      <c r="T119"/>
      <c r="U119"/>
      <c r="V119"/>
    </row>
    <row r="120" spans="14:22" x14ac:dyDescent="0.2">
      <c r="N120"/>
      <c r="O120"/>
      <c r="P120"/>
      <c r="Q120"/>
      <c r="R120"/>
      <c r="S120"/>
      <c r="T120"/>
      <c r="U120"/>
      <c r="V120"/>
    </row>
  </sheetData>
  <sheetProtection password="82FB" sheet="1" objects="1" scenarios="1" selectLockedCells="1"/>
  <phoneticPr fontId="0" type="noConversion"/>
  <conditionalFormatting sqref="C30">
    <cfRule type="expression" dxfId="8" priority="2" stopIfTrue="1">
      <formula>AND(AND($D$30="Flak",F$30="Flak"),NOT($C$30=$E$30))</formula>
    </cfRule>
  </conditionalFormatting>
  <conditionalFormatting sqref="E29">
    <cfRule type="expression" dxfId="7" priority="3" stopIfTrue="1">
      <formula>OR(AND($D$30="Flak",NOT(F$30="Flak")),AND(NOT($D$30="Flak"),F$30="Flak"))</formula>
    </cfRule>
  </conditionalFormatting>
  <conditionalFormatting sqref="E30">
    <cfRule type="expression" dxfId="6" priority="1" stopIfTrue="1">
      <formula>AND(AND($D$30="Flak",F$30="Flak"),NOT($C$30=$E$30))</formula>
    </cfRule>
  </conditionalFormatting>
  <pageMargins left="0.78740157499999996" right="0.78740157499999996" top="0.984251969" bottom="0.984251969" header="0.5" footer="0.5"/>
  <pageSetup paperSize="9" scale="73"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70" r:id="rId4" name="Group Box 26">
              <controlPr defaultSize="0" autoFill="0" autoPict="0">
                <anchor moveWithCells="1">
                  <from>
                    <xdr:col>0</xdr:col>
                    <xdr:colOff>1000125</xdr:colOff>
                    <xdr:row>1</xdr:row>
                    <xdr:rowOff>85725</xdr:rowOff>
                  </from>
                  <to>
                    <xdr:col>3</xdr:col>
                    <xdr:colOff>228600</xdr:colOff>
                    <xdr:row>9</xdr:row>
                    <xdr:rowOff>19050</xdr:rowOff>
                  </to>
                </anchor>
              </controlPr>
            </control>
          </mc:Choice>
        </mc:AlternateContent>
        <mc:AlternateContent xmlns:mc="http://schemas.openxmlformats.org/markup-compatibility/2006">
          <mc:Choice Requires="x14">
            <control shapeId="6171" r:id="rId5" name="Group Box 27">
              <controlPr defaultSize="0" autoFill="0" autoPict="0">
                <anchor moveWithCells="1">
                  <from>
                    <xdr:col>3</xdr:col>
                    <xdr:colOff>1000125</xdr:colOff>
                    <xdr:row>1</xdr:row>
                    <xdr:rowOff>85725</xdr:rowOff>
                  </from>
                  <to>
                    <xdr:col>6</xdr:col>
                    <xdr:colOff>171450</xdr:colOff>
                    <xdr:row>9</xdr:row>
                    <xdr:rowOff>0</xdr:rowOff>
                  </to>
                </anchor>
              </controlPr>
            </control>
          </mc:Choice>
        </mc:AlternateContent>
        <mc:AlternateContent xmlns:mc="http://schemas.openxmlformats.org/markup-compatibility/2006">
          <mc:Choice Requires="x14">
            <control shapeId="6175" r:id="rId6" name="Group Box 31">
              <controlPr defaultSize="0" autoFill="0" autoPict="0">
                <anchor moveWithCells="1">
                  <from>
                    <xdr:col>0</xdr:col>
                    <xdr:colOff>1000125</xdr:colOff>
                    <xdr:row>10</xdr:row>
                    <xdr:rowOff>123825</xdr:rowOff>
                  </from>
                  <to>
                    <xdr:col>3</xdr:col>
                    <xdr:colOff>228600</xdr:colOff>
                    <xdr:row>16</xdr:row>
                    <xdr:rowOff>19050</xdr:rowOff>
                  </to>
                </anchor>
              </controlPr>
            </control>
          </mc:Choice>
        </mc:AlternateContent>
        <mc:AlternateContent xmlns:mc="http://schemas.openxmlformats.org/markup-compatibility/2006">
          <mc:Choice Requires="x14">
            <control shapeId="6176" r:id="rId7" name="Group Box 32">
              <controlPr defaultSize="0" autoFill="0" autoPict="0">
                <anchor moveWithCells="1">
                  <from>
                    <xdr:col>3</xdr:col>
                    <xdr:colOff>1000125</xdr:colOff>
                    <xdr:row>10</xdr:row>
                    <xdr:rowOff>123825</xdr:rowOff>
                  </from>
                  <to>
                    <xdr:col>6</xdr:col>
                    <xdr:colOff>171450</xdr:colOff>
                    <xdr:row>16</xdr:row>
                    <xdr:rowOff>19050</xdr:rowOff>
                  </to>
                </anchor>
              </controlPr>
            </control>
          </mc:Choice>
        </mc:AlternateContent>
        <mc:AlternateContent xmlns:mc="http://schemas.openxmlformats.org/markup-compatibility/2006">
          <mc:Choice Requires="x14">
            <control shapeId="6181" r:id="rId8" name="Group Box 37">
              <controlPr defaultSize="0" autoFill="0" autoPict="0">
                <anchor moveWithCells="1">
                  <from>
                    <xdr:col>0</xdr:col>
                    <xdr:colOff>990600</xdr:colOff>
                    <xdr:row>18</xdr:row>
                    <xdr:rowOff>0</xdr:rowOff>
                  </from>
                  <to>
                    <xdr:col>6</xdr:col>
                    <xdr:colOff>152400</xdr:colOff>
                    <xdr:row>23</xdr:row>
                    <xdr:rowOff>0</xdr:rowOff>
                  </to>
                </anchor>
              </controlPr>
            </control>
          </mc:Choice>
        </mc:AlternateContent>
        <mc:AlternateContent xmlns:mc="http://schemas.openxmlformats.org/markup-compatibility/2006">
          <mc:Choice Requires="x14">
            <control shapeId="6182" r:id="rId9" name="Group Box 38">
              <controlPr defaultSize="0" autoFill="0" autoPict="0">
                <anchor moveWithCells="1">
                  <from>
                    <xdr:col>0</xdr:col>
                    <xdr:colOff>990600</xdr:colOff>
                    <xdr:row>24</xdr:row>
                    <xdr:rowOff>114300</xdr:rowOff>
                  </from>
                  <to>
                    <xdr:col>6</xdr:col>
                    <xdr:colOff>152400</xdr:colOff>
                    <xdr:row>34</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dimension ref="B2:Q51"/>
  <sheetViews>
    <sheetView showGridLines="0" workbookViewId="0">
      <selection activeCell="I42" sqref="I42"/>
    </sheetView>
  </sheetViews>
  <sheetFormatPr defaultColWidth="11.42578125" defaultRowHeight="12.75" x14ac:dyDescent="0.2"/>
  <cols>
    <col min="1" max="9" width="11.42578125" style="5" customWidth="1"/>
    <col min="10" max="10" width="3.7109375" style="5" customWidth="1"/>
    <col min="11" max="13" width="11.42578125" style="5" customWidth="1"/>
    <col min="14" max="17" width="11.42578125" style="5" hidden="1" customWidth="1"/>
    <col min="18" max="16384" width="11.42578125" style="5"/>
  </cols>
  <sheetData>
    <row r="2" spans="2:15" x14ac:dyDescent="0.2">
      <c r="J2" s="19"/>
    </row>
    <row r="3" spans="2:15" ht="25.5" x14ac:dyDescent="0.2">
      <c r="B3" s="30" t="s">
        <v>553</v>
      </c>
      <c r="C3" s="30" t="s">
        <v>56</v>
      </c>
      <c r="D3" s="30" t="s">
        <v>554</v>
      </c>
      <c r="E3" s="30" t="s">
        <v>555</v>
      </c>
      <c r="F3" s="30" t="s">
        <v>556</v>
      </c>
      <c r="G3" s="59" t="s">
        <v>557</v>
      </c>
      <c r="H3" s="59" t="s">
        <v>558</v>
      </c>
      <c r="I3" s="59" t="s">
        <v>559</v>
      </c>
    </row>
    <row r="4" spans="2:15" x14ac:dyDescent="0.2">
      <c r="B4" s="14" t="str">
        <f>Bygg!G22</f>
        <v>Lav</v>
      </c>
      <c r="C4" s="14" t="str">
        <f>Bygg!G21</f>
        <v>Flatt tak</v>
      </c>
      <c r="D4" s="17">
        <f>Bygg!G29</f>
        <v>0</v>
      </c>
      <c r="E4" s="17">
        <f>Bygg!G28</f>
        <v>0</v>
      </c>
      <c r="F4" s="17">
        <f>D4-E4</f>
        <v>0</v>
      </c>
      <c r="G4" s="41">
        <f>Bygg!G23</f>
        <v>0</v>
      </c>
      <c r="H4" s="41">
        <f>Bygg!G24</f>
        <v>0</v>
      </c>
      <c r="I4" s="41" t="str">
        <f>IF(Bygg!O22=3,Bygg!G33,"")</f>
        <v/>
      </c>
    </row>
    <row r="7" spans="2:15" x14ac:dyDescent="0.2">
      <c r="O7" s="3">
        <v>2</v>
      </c>
    </row>
    <row r="9" spans="2:15" x14ac:dyDescent="0.2">
      <c r="H9" s="12" t="s">
        <v>561</v>
      </c>
      <c r="I9" s="60">
        <f>IF(O7=1,0.8,1)</f>
        <v>1</v>
      </c>
    </row>
    <row r="13" spans="2:15" x14ac:dyDescent="0.2">
      <c r="O13" s="3">
        <v>2</v>
      </c>
    </row>
    <row r="15" spans="2:15" x14ac:dyDescent="0.2">
      <c r="H15" s="12" t="s">
        <v>560</v>
      </c>
      <c r="I15" s="47">
        <f>IF(O13=1,0,1)</f>
        <v>1</v>
      </c>
    </row>
    <row r="19" spans="2:17" x14ac:dyDescent="0.2">
      <c r="O19" s="3">
        <v>2</v>
      </c>
    </row>
    <row r="21" spans="2:17" x14ac:dyDescent="0.2">
      <c r="H21" s="12" t="s">
        <v>562</v>
      </c>
      <c r="I21" s="47">
        <f>IF(O19=1,0.2,0.7)</f>
        <v>0.7</v>
      </c>
    </row>
    <row r="24" spans="2:17" x14ac:dyDescent="0.2">
      <c r="N24" s="161" t="s">
        <v>612</v>
      </c>
    </row>
    <row r="25" spans="2:17" x14ac:dyDescent="0.2">
      <c r="N25" s="161">
        <v>3750</v>
      </c>
    </row>
    <row r="26" spans="2:17" ht="25.5" x14ac:dyDescent="0.2">
      <c r="B26" s="11" t="s">
        <v>563</v>
      </c>
      <c r="C26" s="30" t="s">
        <v>564</v>
      </c>
      <c r="D26" s="30" t="s">
        <v>565</v>
      </c>
      <c r="E26" s="30" t="s">
        <v>566</v>
      </c>
      <c r="F26" s="59" t="s">
        <v>572</v>
      </c>
      <c r="G26" s="59" t="s">
        <v>567</v>
      </c>
      <c r="H26" s="59" t="s">
        <v>571</v>
      </c>
      <c r="I26" s="59" t="s">
        <v>568</v>
      </c>
      <c r="J26" s="28"/>
      <c r="K26" s="30" t="s">
        <v>569</v>
      </c>
      <c r="L26" s="30" t="s">
        <v>570</v>
      </c>
      <c r="N26" s="36"/>
      <c r="O26" s="61" t="s">
        <v>18</v>
      </c>
      <c r="Q26" s="5" t="s">
        <v>28</v>
      </c>
    </row>
    <row r="27" spans="2:17" x14ac:dyDescent="0.2">
      <c r="B27" s="62" t="s">
        <v>573</v>
      </c>
      <c r="C27" s="63" t="str">
        <f>IF(Bygg!$O$22=3,-1.5,"")</f>
        <v/>
      </c>
      <c r="D27" s="17" t="str">
        <f>IF(Bygg!$O$22=3,Vindlast!$F$14*Vindlast!$F$13*Vindlast!$C$31*($I$9*ABS(C27)+$I$15*$I$21),"")</f>
        <v/>
      </c>
      <c r="E27" s="17" t="str">
        <f>IF(Bygg!$O$22=3,Tekking!$E$28,"")</f>
        <v/>
      </c>
      <c r="F27" s="64" t="str">
        <f>IF(Bygg!$O$22=3,G27*Bygg!$G$34,"")</f>
        <v/>
      </c>
      <c r="G27" s="65" t="str">
        <f>IF(Bygg!$O$22=3,1/(H27*I27),"")</f>
        <v/>
      </c>
      <c r="H27" s="66" t="str">
        <f>IF(Bygg!$O$22=3,Tekking!$H$30,"")</f>
        <v/>
      </c>
      <c r="I27" s="41" t="str">
        <f>IF(Bygg!$O$22=3,IF(N27=0,IF((1/Tekking!$H$30)/O27&lt;=1,IF((1/Tekking!$H$30)/O27&gt;=0.2,(1/Tekking!$H$30)/O27,(1/Tekking!$H$30)/O27),1),IF((1/Tekking!$H$30)/O27&lt;=0.6,IF((1/Tekking!$H$30)/O27&gt;=0.2,(1/Tekking!$H$30)/O27,(1/Tekking!$H$30)/O27),0.6)),"")</f>
        <v/>
      </c>
      <c r="K27" s="11" t="str">
        <f>IF(Bygg!$O$22=3,IF(N27=0,IF(Tekking!$H$30&lt;=1,IF(Tekking!$H$30&gt;=0.2,"ok","Min. 0,2 m"),"Max. 1,0 m"),IF(Tekking!$H$30&lt;=0.6,IF(Tekking!$H$30&gt;=0.2,"ok","Min. 0,2 m"),"Max. 0,6 m")),"")</f>
        <v/>
      </c>
      <c r="L27" s="14" t="str">
        <f>IF(Bygg!$O$22=3,IF(N27=0,IF((1/Tekking!$H$30)/O27&lt;=1,IF((1/Tekking!$H$30)/O27&gt;=0.2,"ok","Min. 0,2 m"),"ok"),IF((1/Tekking!$H$30)/O27&lt;=0.6,IF((1/Tekking!$H$30)/O27&gt;=0.2,"ok","Min. 0,2 m"),"ok")),"")</f>
        <v/>
      </c>
      <c r="N27" s="5">
        <f>IF(D27&gt;N25,1,0)</f>
        <v>1</v>
      </c>
      <c r="O27" s="5" t="e">
        <f>IF(N27=0,IF(D27/E27&gt;=1,D27/E27,1),IF(D27/E27&gt;=2,D27/E27,2))</f>
        <v>#VALUE!</v>
      </c>
      <c r="Q27" s="5">
        <f>Bygg!$O$22</f>
        <v>1</v>
      </c>
    </row>
    <row r="28" spans="2:17" x14ac:dyDescent="0.2">
      <c r="B28" s="62" t="s">
        <v>574</v>
      </c>
      <c r="C28" s="63">
        <f>VLOOKUP(Bygg!$O$22,Tak,3,FALSE)</f>
        <v>-2.5</v>
      </c>
      <c r="D28" s="17">
        <f>Vindlast!$F$14*Vindlast!$F$13*Vindlast!$C$31*($I$9*ABS(C28)+$I$15*$I$21)</f>
        <v>2937.1280066553554</v>
      </c>
      <c r="E28" s="17">
        <f>Tekking!$E$28</f>
        <v>0</v>
      </c>
      <c r="F28" s="64" t="e">
        <f>G28*Bygg!$G$26</f>
        <v>#DIV/0!</v>
      </c>
      <c r="G28" s="65" t="e">
        <f>1/(H28*I28)</f>
        <v>#DIV/0!</v>
      </c>
      <c r="H28" s="41">
        <f>Tekking!$H$30</f>
        <v>0</v>
      </c>
      <c r="I28" s="41" t="e">
        <f>IF(N28=0,IF((1/Tekking!$H$30)/O28&lt;=1,IF((1/Tekking!$H$30)/O28&gt;=0.2,(1/Tekking!$H$30)/O28,(1/Tekking!$H$30)/O28),1),IF((1/Tekking!$H$30)/O28&lt;=0.6,IF((1/Tekking!$H$30)/O28&gt;=0.2,(1/Tekking!$H$30)/O28,(1/Tekking!$H$30)/O28),0.6))</f>
        <v>#DIV/0!</v>
      </c>
      <c r="K28" s="14" t="str">
        <f>IF(N28=0,IF(Tekking!$H$30&lt;=1,IF(Tekking!$H$30&gt;=0.2,"ok","Min. 0,2 m"),"Max. 1,0 m"),IF(Tekking!$H$30&lt;=0.6,IF(Tekking!$H$30&gt;=0.2,"ok","Min. 0,2 m"),"Max. 0,6 m"))</f>
        <v>Min. 0,2 m</v>
      </c>
      <c r="L28" s="14" t="e">
        <f>IF(N28=0,IF((1/Tekking!$H$30)/O28&lt;=1,IF((1/Tekking!$H$30)/O28&gt;=0.2,"ok","Min. 0,2 m"),"ok"),IF((1/Tekking!$H$30)/O28&lt;=0.6,IF((1/Tekking!$H$30)/O28&gt;=0.2,"ok","Min. 0,2 m"),"ok"))</f>
        <v>#DIV/0!</v>
      </c>
      <c r="N28" s="36">
        <f>IF(D28&gt;N25,1,0)</f>
        <v>0</v>
      </c>
      <c r="O28" s="67" t="e">
        <f>IF(N28=0,IF(D28/E28&gt;=1,D28/E28,1),IF(D28/E28&gt;=2,D28/E28,2))</f>
        <v>#DIV/0!</v>
      </c>
    </row>
    <row r="29" spans="2:17" x14ac:dyDescent="0.2">
      <c r="B29" s="62" t="s">
        <v>575</v>
      </c>
      <c r="C29" s="63">
        <f>VLOOKUP(Bygg!$O$22,Tak,4,FALSE)</f>
        <v>-2</v>
      </c>
      <c r="D29" s="17">
        <f>Vindlast!$F$14*Vindlast!$F$13*Vindlast!$C$31*($I$9*ABS(C29)+$I$15*$I$21)</f>
        <v>2478.2017556154565</v>
      </c>
      <c r="E29" s="17">
        <f>Tekking!$E$28</f>
        <v>0</v>
      </c>
      <c r="F29" s="64" t="e">
        <f>G29*Bygg!$G$27</f>
        <v>#DIV/0!</v>
      </c>
      <c r="G29" s="65" t="e">
        <f>1/(H29*I29)</f>
        <v>#DIV/0!</v>
      </c>
      <c r="H29" s="41">
        <f>Tekking!$H$30</f>
        <v>0</v>
      </c>
      <c r="I29" s="41" t="e">
        <f>IF(N29=0,IF((1/Tekking!$H$30)/O29&lt;=1,IF((1/Tekking!$H$30)/O29&gt;=0.2,(1/Tekking!$H$30)/O29,(1/Tekking!$H$30)/O29),1),IF((1/Tekking!$H$30)/O29&lt;=0.6,IF((1/Tekking!$H$30)/O29&gt;=0.2,(1/Tekking!$H$30)/O29,(1/Tekking!$H$30)/O29),0.6))</f>
        <v>#DIV/0!</v>
      </c>
      <c r="K29" s="14" t="str">
        <f>IF(N29=0,IF(Tekking!$H$30&lt;=1,IF(Tekking!$H$30&gt;=0.2,"ok","Min. 0,2 m"),"Max. 1,0 m"),IF(Tekking!$H$30&lt;=0.6,IF(Tekking!$H$30&gt;=0.2,"ok","Min. 0,2 m"),"Max. 0,6 m"))</f>
        <v>Min. 0,2 m</v>
      </c>
      <c r="L29" s="14" t="e">
        <f>IF(N29=0,IF((1/Tekking!$H$30)/O29&lt;=1,IF((1/Tekking!$H$30)/O29&gt;=0.2,"ok","Min. 0,2 m"),"ok"),IF((1/Tekking!$H$30)/O29&lt;=0.6,IF((1/Tekking!$H$30)/O29&gt;=0.2,"ok","Min. 0,2 m"),"ok"))</f>
        <v>#DIV/0!</v>
      </c>
      <c r="N29" s="36">
        <f>IF(D29&gt;N25,1,0)</f>
        <v>0</v>
      </c>
      <c r="O29" s="67" t="e">
        <f>IF(N29=0,IF(D29/E29&gt;=1,D29/E29,1),IF(D29/E29&gt;=2,D29/E29,2))</f>
        <v>#DIV/0!</v>
      </c>
    </row>
    <row r="30" spans="2:17" x14ac:dyDescent="0.2">
      <c r="B30" s="62" t="s">
        <v>6</v>
      </c>
      <c r="C30" s="63">
        <f>VLOOKUP(Bygg!$O$22,Tak,5,FALSE)</f>
        <v>-1</v>
      </c>
      <c r="D30" s="17">
        <f>Vindlast!$F$14*Vindlast!$F$13*Vindlast!$C$31*($I$9*ABS(C30)+$I$15*$I$21)</f>
        <v>1560.3492535356575</v>
      </c>
      <c r="E30" s="17">
        <f>Tekking!$C$28</f>
        <v>0</v>
      </c>
      <c r="F30" s="64" t="e">
        <f>G30*Bygg!$G$28</f>
        <v>#DIV/0!</v>
      </c>
      <c r="G30" s="65" t="e">
        <f>1/(H30*I30)</f>
        <v>#DIV/0!</v>
      </c>
      <c r="H30" s="41">
        <f>Tekking!$H$28</f>
        <v>0</v>
      </c>
      <c r="I30" s="41" t="e">
        <f>IF(N30=0,IF((1/Tekking!$H$28)/O30&gt;=0.2,(1/Tekking!$H$28)/O30,(1/Tekking!$H$28)/O30),IF((1/Tekking!$H$28)/O30&lt;=1,IF((1/Tekking!$H$28)/O30&gt;=0.2,(1/Tekking!$H$28)/O30,(1/Tekking!$H$28)/O30),1))</f>
        <v>#DIV/0!</v>
      </c>
      <c r="J30" s="28"/>
      <c r="K30" s="14" t="str">
        <f>IF(N30=0,IF(Tekking!$H$28&gt;=0.2,"ok","Min. 0,2 m"),IF(Tekking!$H$28&lt;=1,IF(Tekking!$H$28&gt;=0.2,"ok","Min. 0,2 m"),"Max. 1,0 m"))</f>
        <v>Min. 0,2 m</v>
      </c>
      <c r="L30" s="14" t="e">
        <f>IF(N30=0,IF((1/Tekking!$H$28)/O30&gt;=0.2,"ok","Min. 0,2 m"),IF((1/Tekking!$H$28)/O30&lt;=1,IF((1/Tekking!$H$28)/O30&gt;=0.2,"ok","Min. 0,2 m"),"ok"))</f>
        <v>#DIV/0!</v>
      </c>
      <c r="N30" s="36">
        <f>IF(D30&gt;N25,1,0)</f>
        <v>0</v>
      </c>
      <c r="O30" s="67" t="e">
        <f>IF(N30=0,IF(D30/E30&gt;=1,D30/E30,1),IF(D30/E30&gt;=2,D30/E30,2))</f>
        <v>#DIV/0!</v>
      </c>
    </row>
    <row r="31" spans="2:17" x14ac:dyDescent="0.2">
      <c r="J31" s="28"/>
      <c r="N31" s="36"/>
    </row>
    <row r="32" spans="2:17" x14ac:dyDescent="0.2">
      <c r="D32" s="9"/>
      <c r="E32" s="68" t="s">
        <v>576</v>
      </c>
      <c r="F32" s="64" t="e">
        <f>IF(Bygg!O22=3,ROUND(F28,0)+ROUND(F29,0)+ROUND(F30,0)+ROUND(F27,0),ROUND(F28,0)+ROUND(F29,0)+ROUND(F30,0))</f>
        <v>#DIV/0!</v>
      </c>
      <c r="J32" s="28"/>
      <c r="N32" s="36"/>
    </row>
    <row r="33" spans="2:17" x14ac:dyDescent="0.2">
      <c r="J33" s="28"/>
      <c r="N33" s="36"/>
      <c r="O33" s="5" t="e">
        <f>1/(O27*H27)</f>
        <v>#VALUE!</v>
      </c>
    </row>
    <row r="34" spans="2:17" x14ac:dyDescent="0.2">
      <c r="G34" s="69"/>
      <c r="J34" s="28"/>
      <c r="N34" s="36"/>
      <c r="O34" s="70" t="e">
        <f>1/(O28*H28)</f>
        <v>#DIV/0!</v>
      </c>
    </row>
    <row r="35" spans="2:17" x14ac:dyDescent="0.2">
      <c r="G35" s="69"/>
      <c r="O35" s="70" t="e">
        <f>1/(O29*H29)</f>
        <v>#DIV/0!</v>
      </c>
    </row>
    <row r="36" spans="2:17" x14ac:dyDescent="0.2">
      <c r="O36" s="70" t="e">
        <f>1/(O30*H30)</f>
        <v>#DIV/0!</v>
      </c>
    </row>
    <row r="38" spans="2:17" x14ac:dyDescent="0.2">
      <c r="O38" s="27">
        <v>1</v>
      </c>
    </row>
    <row r="41" spans="2:17" ht="25.5" x14ac:dyDescent="0.2">
      <c r="B41" s="11" t="s">
        <v>563</v>
      </c>
      <c r="C41" s="162"/>
      <c r="D41" s="163"/>
      <c r="E41" s="164"/>
      <c r="F41" s="59" t="s">
        <v>572</v>
      </c>
      <c r="G41" s="59" t="s">
        <v>567</v>
      </c>
      <c r="H41" s="59" t="s">
        <v>571</v>
      </c>
      <c r="I41" s="59" t="s">
        <v>568</v>
      </c>
      <c r="J41" s="28"/>
      <c r="K41" s="30" t="s">
        <v>569</v>
      </c>
      <c r="L41" s="30" t="s">
        <v>570</v>
      </c>
      <c r="N41" s="36"/>
      <c r="O41" s="61" t="s">
        <v>18</v>
      </c>
      <c r="Q41" s="5" t="s">
        <v>28</v>
      </c>
    </row>
    <row r="42" spans="2:17" x14ac:dyDescent="0.2">
      <c r="B42" s="62" t="s">
        <v>573</v>
      </c>
      <c r="C42" s="165"/>
      <c r="D42" s="166"/>
      <c r="E42" s="167"/>
      <c r="F42" s="64" t="str">
        <f>IF(Bygg!$O$22=3,G42*Bygg!$G$34,"")</f>
        <v/>
      </c>
      <c r="G42" s="65" t="str">
        <f>IF(Bygg!$O$22=3,1/(H42*I42),"")</f>
        <v/>
      </c>
      <c r="H42" s="66" t="str">
        <f>IF(Bygg!$O$22=3,Tekking!$H$30,"")</f>
        <v/>
      </c>
      <c r="I42" s="2"/>
      <c r="K42" s="11" t="str">
        <f>IF(Bygg!$O$22=3,IF(N42=0,IF(Tekking!$H$30&lt;=1,IF(Tekking!$H$30&gt;=0.2,"ok","Min. 0,2 m"),"Max. 1,0 m"),IF(Tekking!$H$30&lt;=0.6,IF(Tekking!$H$30&gt;=0.2,"ok","Min. 0,2 m"),"Max. 0,6 m")),"")</f>
        <v/>
      </c>
      <c r="L42" s="14" t="str">
        <f>IF(Bygg!$O$22=3,IF(I42&gt;ROUND(I27,2),"For høy","ok"),"")</f>
        <v/>
      </c>
      <c r="N42" s="5">
        <f>IF(D27&gt;N25,1,0)</f>
        <v>1</v>
      </c>
      <c r="O42" s="5" t="e">
        <f>IF(N42=0,IF(D42/E42&gt;=1,D42/E42,1),IF(D42/E42&gt;=2,D42/E42,2))</f>
        <v>#DIV/0!</v>
      </c>
      <c r="Q42" s="5">
        <f>Bygg!$O$22</f>
        <v>1</v>
      </c>
    </row>
    <row r="43" spans="2:17" x14ac:dyDescent="0.2">
      <c r="B43" s="62" t="s">
        <v>574</v>
      </c>
      <c r="C43" s="165"/>
      <c r="D43" s="166"/>
      <c r="E43" s="167"/>
      <c r="F43" s="64" t="e">
        <f>G43*Bygg!$G$26</f>
        <v>#DIV/0!</v>
      </c>
      <c r="G43" s="65" t="e">
        <f>1/(H43*I43)</f>
        <v>#DIV/0!</v>
      </c>
      <c r="H43" s="41">
        <f>Tekking!$H$30</f>
        <v>0</v>
      </c>
      <c r="I43" s="2"/>
      <c r="K43" s="14" t="str">
        <f>IF(N43=0,IF(Tekking!$H$30&lt;=1,IF(Tekking!$H$30&gt;=0.2,"ok","Min. 0,2 m"),"Max. 1,0 m"),IF(Tekking!$H$30&lt;=0.6,IF(Tekking!$H$30&gt;=0.2,"ok","Min. 0,2 m"),"Max. 0,6 m"))</f>
        <v>Min. 0,2 m</v>
      </c>
      <c r="L43" s="14" t="e">
        <f>IF(I43&gt;ROUND(I28,2),"For høy","ok")</f>
        <v>#DIV/0!</v>
      </c>
      <c r="N43" s="36">
        <f>IF(D28&gt;N25,1,0)</f>
        <v>0</v>
      </c>
      <c r="O43" s="67" t="e">
        <f>IF(N43=0,IF(D43/E43&gt;=1,D43/E43,1),IF(D43/E43&gt;=2,D43/E43,2))</f>
        <v>#DIV/0!</v>
      </c>
    </row>
    <row r="44" spans="2:17" x14ac:dyDescent="0.2">
      <c r="B44" s="62" t="s">
        <v>575</v>
      </c>
      <c r="C44" s="165"/>
      <c r="D44" s="166"/>
      <c r="E44" s="167"/>
      <c r="F44" s="64" t="e">
        <f>G44*Bygg!$G$27</f>
        <v>#DIV/0!</v>
      </c>
      <c r="G44" s="65" t="e">
        <f>1/(H44*I44)</f>
        <v>#DIV/0!</v>
      </c>
      <c r="H44" s="41">
        <f>Tekking!$H$30</f>
        <v>0</v>
      </c>
      <c r="I44" s="2"/>
      <c r="K44" s="14" t="str">
        <f>IF(N44=0,IF(Tekking!$H$30&lt;=1,IF(Tekking!$H$30&gt;=0.2,"ok","Min. 0,2 m"),"Max. 1,0 m"),IF(Tekking!$H$30&lt;=0.6,IF(Tekking!$H$30&gt;=0.2,"ok","Min. 0,2 m"),"Max. 0,6 m"))</f>
        <v>Min. 0,2 m</v>
      </c>
      <c r="L44" s="14" t="e">
        <f>IF(I44&gt;ROUND(I29,2),"For høy","ok")</f>
        <v>#DIV/0!</v>
      </c>
      <c r="N44" s="36">
        <f>IF(D29&gt;N25,1,0)</f>
        <v>0</v>
      </c>
      <c r="O44" s="67" t="e">
        <f>IF(N44=0,IF(D44/E44&gt;=1,D44/E44,1),IF(D44/E44&gt;=2,D44/E44,2))</f>
        <v>#DIV/0!</v>
      </c>
    </row>
    <row r="45" spans="2:17" x14ac:dyDescent="0.2">
      <c r="B45" s="62" t="s">
        <v>6</v>
      </c>
      <c r="C45" s="165"/>
      <c r="D45" s="166"/>
      <c r="E45" s="167"/>
      <c r="F45" s="64" t="e">
        <f>G45*Bygg!$G$28</f>
        <v>#DIV/0!</v>
      </c>
      <c r="G45" s="65" t="e">
        <f>1/(H45*I45)</f>
        <v>#DIV/0!</v>
      </c>
      <c r="H45" s="41">
        <f>Tekking!$H$28</f>
        <v>0</v>
      </c>
      <c r="I45" s="2"/>
      <c r="J45" s="28"/>
      <c r="K45" s="14" t="str">
        <f>IF(N45=0,IF(Tekking!$H$28&gt;=0.2,"ok","Min. 0,2 m"),IF(Tekking!$H$28&lt;=1,IF(Tekking!$H$28&gt;=0.2,"ok","Min. 0,2 m"),"Max. 1,0 m"))</f>
        <v>Min. 0,2 m</v>
      </c>
      <c r="L45" s="14" t="e">
        <f>IF(I45&gt;ROUND(I30,2),"For høy","ok")</f>
        <v>#DIV/0!</v>
      </c>
      <c r="N45" s="36">
        <f>IF(D30&gt;N25,1,0)</f>
        <v>0</v>
      </c>
      <c r="O45" s="67" t="e">
        <f>IF(N45=0,IF(D45/E45&gt;=1,D45/E45,1),IF(D45/E45&gt;=2,D45/E45,2))</f>
        <v>#DIV/0!</v>
      </c>
    </row>
    <row r="46" spans="2:17" x14ac:dyDescent="0.2">
      <c r="J46" s="28"/>
      <c r="N46" s="36"/>
    </row>
    <row r="47" spans="2:17" x14ac:dyDescent="0.2">
      <c r="D47" s="9"/>
      <c r="E47" s="68" t="s">
        <v>576</v>
      </c>
      <c r="F47" s="64" t="e">
        <f>IF(Bygg!O22=3,ROUND(F43,0)+ROUND(F44,0)+ROUND(F45,0)+ROUND(F42,0),ROUND(F43,0)+ROUND(F44,0)+ROUND(F45,0))</f>
        <v>#DIV/0!</v>
      </c>
      <c r="J47" s="28"/>
      <c r="N47" s="36"/>
    </row>
    <row r="48" spans="2:17" x14ac:dyDescent="0.2">
      <c r="J48" s="28"/>
      <c r="N48" s="36"/>
      <c r="O48" s="5" t="e">
        <f>1/(O42*H42)</f>
        <v>#DIV/0!</v>
      </c>
    </row>
    <row r="49" spans="7:15" x14ac:dyDescent="0.2">
      <c r="G49" s="69"/>
      <c r="J49" s="28"/>
      <c r="N49" s="36"/>
      <c r="O49" s="70" t="e">
        <f>1/(O43*H43)</f>
        <v>#DIV/0!</v>
      </c>
    </row>
    <row r="50" spans="7:15" x14ac:dyDescent="0.2">
      <c r="G50" s="69"/>
      <c r="O50" s="70" t="e">
        <f>1/(O44*H44)</f>
        <v>#DIV/0!</v>
      </c>
    </row>
    <row r="51" spans="7:15" x14ac:dyDescent="0.2">
      <c r="O51" s="70" t="e">
        <f>1/(O45*H45)</f>
        <v>#DIV/0!</v>
      </c>
    </row>
  </sheetData>
  <sheetProtection password="82FB" sheet="1" objects="1" scenarios="1" selectLockedCells="1"/>
  <phoneticPr fontId="0" type="noConversion"/>
  <conditionalFormatting sqref="H27:I27 H42:I42">
    <cfRule type="expression" dxfId="5" priority="2" stopIfTrue="1">
      <formula>AND(NOT(OR(K27="ok")),$Q$27=3)</formula>
    </cfRule>
  </conditionalFormatting>
  <conditionalFormatting sqref="H28:I30 H43:I45">
    <cfRule type="expression" dxfId="4" priority="1" stopIfTrue="1">
      <formula>NOT(OR(K28="ok"))</formula>
    </cfRule>
  </conditionalFormatting>
  <pageMargins left="0.78740157499999996" right="0.78740157499999996" top="0.984251969" bottom="0.984251969" header="0.5" footer="0.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Group Box 1">
              <controlPr defaultSize="0" autoFill="0" autoPict="0">
                <anchor moveWithCells="1">
                  <from>
                    <xdr:col>0</xdr:col>
                    <xdr:colOff>628650</xdr:colOff>
                    <xdr:row>1</xdr:row>
                    <xdr:rowOff>28575</xdr:rowOff>
                  </from>
                  <to>
                    <xdr:col>10</xdr:col>
                    <xdr:colOff>9525</xdr:colOff>
                    <xdr:row>4</xdr:row>
                    <xdr:rowOff>142875</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1</xdr:col>
                    <xdr:colOff>0</xdr:colOff>
                    <xdr:row>7</xdr:row>
                    <xdr:rowOff>9525</xdr:rowOff>
                  </from>
                  <to>
                    <xdr:col>6</xdr:col>
                    <xdr:colOff>571500</xdr:colOff>
                    <xdr:row>8</xdr:row>
                    <xdr:rowOff>66675</xdr:rowOff>
                  </to>
                </anchor>
              </controlPr>
            </control>
          </mc:Choice>
        </mc:AlternateContent>
        <mc:AlternateContent xmlns:mc="http://schemas.openxmlformats.org/markup-compatibility/2006">
          <mc:Choice Requires="x14">
            <control shapeId="5123" r:id="rId6" name="Option Button 3">
              <controlPr defaultSize="0" autoFill="0" autoLine="0" autoPict="0">
                <anchor moveWithCells="1">
                  <from>
                    <xdr:col>1</xdr:col>
                    <xdr:colOff>9525</xdr:colOff>
                    <xdr:row>9</xdr:row>
                    <xdr:rowOff>9525</xdr:rowOff>
                  </from>
                  <to>
                    <xdr:col>6</xdr:col>
                    <xdr:colOff>571500</xdr:colOff>
                    <xdr:row>10</xdr:row>
                    <xdr:rowOff>66675</xdr:rowOff>
                  </to>
                </anchor>
              </controlPr>
            </control>
          </mc:Choice>
        </mc:AlternateContent>
        <mc:AlternateContent xmlns:mc="http://schemas.openxmlformats.org/markup-compatibility/2006">
          <mc:Choice Requires="x14">
            <control shapeId="5124" r:id="rId7" name="Group Box 4">
              <controlPr defaultSize="0" autoFill="0" autoPict="0">
                <anchor moveWithCells="1">
                  <from>
                    <xdr:col>0</xdr:col>
                    <xdr:colOff>628650</xdr:colOff>
                    <xdr:row>6</xdr:row>
                    <xdr:rowOff>19050</xdr:rowOff>
                  </from>
                  <to>
                    <xdr:col>10</xdr:col>
                    <xdr:colOff>9525</xdr:colOff>
                    <xdr:row>11</xdr:row>
                    <xdr:rowOff>0</xdr:rowOff>
                  </to>
                </anchor>
              </controlPr>
            </control>
          </mc:Choice>
        </mc:AlternateContent>
        <mc:AlternateContent xmlns:mc="http://schemas.openxmlformats.org/markup-compatibility/2006">
          <mc:Choice Requires="x14">
            <control shapeId="5126" r:id="rId8" name="Option Button 6">
              <controlPr defaultSize="0" autoFill="0" autoLine="0" autoPict="0">
                <anchor moveWithCells="1">
                  <from>
                    <xdr:col>1</xdr:col>
                    <xdr:colOff>0</xdr:colOff>
                    <xdr:row>13</xdr:row>
                    <xdr:rowOff>0</xdr:rowOff>
                  </from>
                  <to>
                    <xdr:col>6</xdr:col>
                    <xdr:colOff>552450</xdr:colOff>
                    <xdr:row>14</xdr:row>
                    <xdr:rowOff>57150</xdr:rowOff>
                  </to>
                </anchor>
              </controlPr>
            </control>
          </mc:Choice>
        </mc:AlternateContent>
        <mc:AlternateContent xmlns:mc="http://schemas.openxmlformats.org/markup-compatibility/2006">
          <mc:Choice Requires="x14">
            <control shapeId="5127" r:id="rId9" name="Option Button 7">
              <controlPr defaultSize="0" autoFill="0" autoLine="0" autoPict="0">
                <anchor moveWithCells="1">
                  <from>
                    <xdr:col>1</xdr:col>
                    <xdr:colOff>0</xdr:colOff>
                    <xdr:row>15</xdr:row>
                    <xdr:rowOff>0</xdr:rowOff>
                  </from>
                  <to>
                    <xdr:col>6</xdr:col>
                    <xdr:colOff>552450</xdr:colOff>
                    <xdr:row>16</xdr:row>
                    <xdr:rowOff>57150</xdr:rowOff>
                  </to>
                </anchor>
              </controlPr>
            </control>
          </mc:Choice>
        </mc:AlternateContent>
        <mc:AlternateContent xmlns:mc="http://schemas.openxmlformats.org/markup-compatibility/2006">
          <mc:Choice Requires="x14">
            <control shapeId="5128" r:id="rId10" name="Group Box 8">
              <controlPr defaultSize="0" autoFill="0" autoPict="0">
                <anchor moveWithCells="1">
                  <from>
                    <xdr:col>0</xdr:col>
                    <xdr:colOff>619125</xdr:colOff>
                    <xdr:row>12</xdr:row>
                    <xdr:rowOff>9525</xdr:rowOff>
                  </from>
                  <to>
                    <xdr:col>10</xdr:col>
                    <xdr:colOff>0</xdr:colOff>
                    <xdr:row>16</xdr:row>
                    <xdr:rowOff>152400</xdr:rowOff>
                  </to>
                </anchor>
              </controlPr>
            </control>
          </mc:Choice>
        </mc:AlternateContent>
        <mc:AlternateContent xmlns:mc="http://schemas.openxmlformats.org/markup-compatibility/2006">
          <mc:Choice Requires="x14">
            <control shapeId="5129" r:id="rId11" name="Option Button 9">
              <controlPr defaultSize="0" autoFill="0" autoLine="0" autoPict="0">
                <anchor moveWithCells="1">
                  <from>
                    <xdr:col>1</xdr:col>
                    <xdr:colOff>0</xdr:colOff>
                    <xdr:row>19</xdr:row>
                    <xdr:rowOff>0</xdr:rowOff>
                  </from>
                  <to>
                    <xdr:col>6</xdr:col>
                    <xdr:colOff>552450</xdr:colOff>
                    <xdr:row>20</xdr:row>
                    <xdr:rowOff>57150</xdr:rowOff>
                  </to>
                </anchor>
              </controlPr>
            </control>
          </mc:Choice>
        </mc:AlternateContent>
        <mc:AlternateContent xmlns:mc="http://schemas.openxmlformats.org/markup-compatibility/2006">
          <mc:Choice Requires="x14">
            <control shapeId="5130" r:id="rId12" name="Option Button 10">
              <controlPr defaultSize="0" autoFill="0" autoLine="0" autoPict="0">
                <anchor moveWithCells="1">
                  <from>
                    <xdr:col>0</xdr:col>
                    <xdr:colOff>742950</xdr:colOff>
                    <xdr:row>20</xdr:row>
                    <xdr:rowOff>152400</xdr:rowOff>
                  </from>
                  <to>
                    <xdr:col>6</xdr:col>
                    <xdr:colOff>552450</xdr:colOff>
                    <xdr:row>22</xdr:row>
                    <xdr:rowOff>47625</xdr:rowOff>
                  </to>
                </anchor>
              </controlPr>
            </control>
          </mc:Choice>
        </mc:AlternateContent>
        <mc:AlternateContent xmlns:mc="http://schemas.openxmlformats.org/markup-compatibility/2006">
          <mc:Choice Requires="x14">
            <control shapeId="5131" r:id="rId13" name="Group Box 11">
              <controlPr defaultSize="0" autoFill="0" autoPict="0">
                <anchor moveWithCells="1">
                  <from>
                    <xdr:col>0</xdr:col>
                    <xdr:colOff>628650</xdr:colOff>
                    <xdr:row>18</xdr:row>
                    <xdr:rowOff>9525</xdr:rowOff>
                  </from>
                  <to>
                    <xdr:col>10</xdr:col>
                    <xdr:colOff>9525</xdr:colOff>
                    <xdr:row>22</xdr:row>
                    <xdr:rowOff>152400</xdr:rowOff>
                  </to>
                </anchor>
              </controlPr>
            </control>
          </mc:Choice>
        </mc:AlternateContent>
        <mc:AlternateContent xmlns:mc="http://schemas.openxmlformats.org/markup-compatibility/2006">
          <mc:Choice Requires="x14">
            <control shapeId="5132" r:id="rId14" name="Group Box 12">
              <controlPr defaultSize="0" autoFill="0" autoPict="0">
                <anchor moveWithCells="1">
                  <from>
                    <xdr:col>0</xdr:col>
                    <xdr:colOff>628650</xdr:colOff>
                    <xdr:row>23</xdr:row>
                    <xdr:rowOff>152400</xdr:rowOff>
                  </from>
                  <to>
                    <xdr:col>12</xdr:col>
                    <xdr:colOff>161925</xdr:colOff>
                    <xdr:row>33</xdr:row>
                    <xdr:rowOff>95250</xdr:rowOff>
                  </to>
                </anchor>
              </controlPr>
            </control>
          </mc:Choice>
        </mc:AlternateContent>
        <mc:AlternateContent xmlns:mc="http://schemas.openxmlformats.org/markup-compatibility/2006">
          <mc:Choice Requires="x14">
            <control shapeId="5171" r:id="rId15" name="Group Box 51">
              <controlPr defaultSize="0" autoFill="0" autoPict="0">
                <anchor moveWithCells="1">
                  <from>
                    <xdr:col>0</xdr:col>
                    <xdr:colOff>628650</xdr:colOff>
                    <xdr:row>34</xdr:row>
                    <xdr:rowOff>47625</xdr:rowOff>
                  </from>
                  <to>
                    <xdr:col>12</xdr:col>
                    <xdr:colOff>161925</xdr:colOff>
                    <xdr:row>48</xdr:row>
                    <xdr:rowOff>123825</xdr:rowOff>
                  </to>
                </anchor>
              </controlPr>
            </control>
          </mc:Choice>
        </mc:AlternateContent>
        <mc:AlternateContent xmlns:mc="http://schemas.openxmlformats.org/markup-compatibility/2006">
          <mc:Choice Requires="x14">
            <control shapeId="5197" r:id="rId16" name="Option Button 77">
              <controlPr defaultSize="0" autoFill="0" autoLine="0" autoPict="0">
                <anchor moveWithCells="1">
                  <from>
                    <xdr:col>1</xdr:col>
                    <xdr:colOff>9525</xdr:colOff>
                    <xdr:row>35</xdr:row>
                    <xdr:rowOff>133350</xdr:rowOff>
                  </from>
                  <to>
                    <xdr:col>4</xdr:col>
                    <xdr:colOff>552450</xdr:colOff>
                    <xdr:row>37</xdr:row>
                    <xdr:rowOff>28575</xdr:rowOff>
                  </to>
                </anchor>
              </controlPr>
            </control>
          </mc:Choice>
        </mc:AlternateContent>
        <mc:AlternateContent xmlns:mc="http://schemas.openxmlformats.org/markup-compatibility/2006">
          <mc:Choice Requires="x14">
            <control shapeId="5198" r:id="rId17" name="Option Button 78">
              <controlPr defaultSize="0" autoFill="0" autoLine="0" autoPict="0">
                <anchor moveWithCells="1">
                  <from>
                    <xdr:col>1</xdr:col>
                    <xdr:colOff>9525</xdr:colOff>
                    <xdr:row>37</xdr:row>
                    <xdr:rowOff>104775</xdr:rowOff>
                  </from>
                  <to>
                    <xdr:col>4</xdr:col>
                    <xdr:colOff>552450</xdr:colOff>
                    <xdr:row>39</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6"/>
  <dimension ref="B2:L58"/>
  <sheetViews>
    <sheetView showGridLines="0" workbookViewId="0">
      <selection activeCell="E10" sqref="E10"/>
    </sheetView>
  </sheetViews>
  <sheetFormatPr defaultColWidth="11.42578125" defaultRowHeight="12.75" x14ac:dyDescent="0.2"/>
  <cols>
    <col min="1" max="1" width="2.42578125" style="5" customWidth="1"/>
    <col min="2" max="3" width="11.42578125" style="5" customWidth="1"/>
    <col min="4" max="4" width="3.85546875" style="5" customWidth="1"/>
    <col min="5" max="6" width="13.28515625" style="5" customWidth="1"/>
    <col min="7" max="7" width="4.28515625" style="5" customWidth="1"/>
    <col min="8" max="9" width="15.7109375" style="5" customWidth="1"/>
    <col min="10" max="16384" width="11.42578125" style="5"/>
  </cols>
  <sheetData>
    <row r="2" spans="2:9" x14ac:dyDescent="0.2">
      <c r="B2" s="71" t="s">
        <v>613</v>
      </c>
      <c r="C2" s="72"/>
      <c r="D2" s="72"/>
      <c r="E2" s="72"/>
      <c r="F2" s="72"/>
      <c r="G2" s="72"/>
      <c r="H2" s="72"/>
      <c r="I2" s="73">
        <f ca="1">TODAY()</f>
        <v>45929</v>
      </c>
    </row>
    <row r="3" spans="2:9" x14ac:dyDescent="0.2">
      <c r="B3" s="74"/>
      <c r="C3" s="75"/>
      <c r="D3" s="75"/>
      <c r="E3" s="75"/>
      <c r="F3" s="75"/>
      <c r="G3" s="75"/>
      <c r="H3" s="75"/>
      <c r="I3" s="76"/>
    </row>
    <row r="4" spans="2:9" x14ac:dyDescent="0.2">
      <c r="B4" s="77" t="s">
        <v>38</v>
      </c>
      <c r="C4" s="78">
        <f>Bygg!C3</f>
        <v>0</v>
      </c>
      <c r="D4" s="72"/>
      <c r="E4" s="72"/>
      <c r="F4" s="72"/>
      <c r="G4" s="72"/>
      <c r="H4" s="72"/>
      <c r="I4" s="79"/>
    </row>
    <row r="5" spans="2:9" x14ac:dyDescent="0.2">
      <c r="B5" s="80" t="s">
        <v>39</v>
      </c>
      <c r="C5" s="81">
        <f>Bygg!C4</f>
        <v>0</v>
      </c>
      <c r="I5" s="82"/>
    </row>
    <row r="6" spans="2:9" x14ac:dyDescent="0.2">
      <c r="B6" s="80" t="s">
        <v>40</v>
      </c>
      <c r="C6" s="81">
        <f>Bygg!C5</f>
        <v>0</v>
      </c>
      <c r="I6" s="82"/>
    </row>
    <row r="7" spans="2:9" x14ac:dyDescent="0.2">
      <c r="B7" s="80" t="s">
        <v>41</v>
      </c>
      <c r="C7" s="81">
        <f>Bygg!C6</f>
        <v>0</v>
      </c>
      <c r="I7" s="82"/>
    </row>
    <row r="8" spans="2:9" x14ac:dyDescent="0.2">
      <c r="B8" s="74" t="s">
        <v>42</v>
      </c>
      <c r="C8" s="83">
        <f>Bygg!C7</f>
        <v>0</v>
      </c>
      <c r="D8" s="75"/>
      <c r="E8" s="75"/>
      <c r="F8" s="75"/>
      <c r="G8" s="75"/>
      <c r="H8" s="75"/>
      <c r="I8" s="76"/>
    </row>
    <row r="10" spans="2:9" x14ac:dyDescent="0.2">
      <c r="B10" s="45" t="s">
        <v>58</v>
      </c>
      <c r="C10" s="84" t="str">
        <f>Bygg!G12</f>
        <v>Oslo</v>
      </c>
      <c r="D10" s="85"/>
      <c r="E10" s="45" t="s">
        <v>577</v>
      </c>
      <c r="F10" s="84"/>
      <c r="G10" s="84"/>
      <c r="H10" s="84" t="s">
        <v>8</v>
      </c>
      <c r="I10" s="86">
        <f>Bygg!G13</f>
        <v>22</v>
      </c>
    </row>
    <row r="11" spans="2:9" x14ac:dyDescent="0.2">
      <c r="B11" s="45" t="s">
        <v>57</v>
      </c>
      <c r="C11" s="84" t="str">
        <f>Bygg!G11</f>
        <v>Oslo</v>
      </c>
      <c r="D11" s="85"/>
      <c r="E11" s="45" t="s">
        <v>578</v>
      </c>
      <c r="F11" s="84"/>
      <c r="G11" s="84"/>
      <c r="H11" s="84" t="s">
        <v>579</v>
      </c>
      <c r="I11" s="86">
        <f>Bygg!C16</f>
        <v>0</v>
      </c>
    </row>
    <row r="12" spans="2:9" x14ac:dyDescent="0.2">
      <c r="I12" s="87"/>
    </row>
    <row r="13" spans="2:9" x14ac:dyDescent="0.2">
      <c r="B13" s="77" t="s">
        <v>580</v>
      </c>
      <c r="C13" s="72"/>
      <c r="D13" s="72"/>
      <c r="E13" s="45" t="s">
        <v>56</v>
      </c>
      <c r="F13" s="84"/>
      <c r="G13" s="84"/>
      <c r="H13" s="84" t="str">
        <f>Bygg!G21</f>
        <v>Flatt tak</v>
      </c>
      <c r="I13" s="85"/>
    </row>
    <row r="14" spans="2:9" x14ac:dyDescent="0.2">
      <c r="B14" s="80"/>
      <c r="E14" s="45" t="s">
        <v>581</v>
      </c>
      <c r="F14" s="84"/>
      <c r="G14" s="84"/>
      <c r="H14" s="84" t="s">
        <v>27</v>
      </c>
      <c r="I14" s="88">
        <f>Bygg!C32</f>
        <v>0</v>
      </c>
    </row>
    <row r="15" spans="2:9" x14ac:dyDescent="0.2">
      <c r="B15" s="80"/>
      <c r="E15" s="45" t="s">
        <v>582</v>
      </c>
      <c r="F15" s="84"/>
      <c r="G15" s="84"/>
      <c r="H15" s="84" t="s">
        <v>9</v>
      </c>
      <c r="I15" s="88">
        <f>Bygg!C30</f>
        <v>0</v>
      </c>
    </row>
    <row r="16" spans="2:9" x14ac:dyDescent="0.2">
      <c r="B16" s="80"/>
      <c r="E16" s="45" t="s">
        <v>583</v>
      </c>
      <c r="F16" s="84"/>
      <c r="G16" s="84"/>
      <c r="H16" s="84" t="s">
        <v>10</v>
      </c>
      <c r="I16" s="88">
        <f>IF(Bygg!$O$22=5,"",Bygg!C31)</f>
        <v>0</v>
      </c>
    </row>
    <row r="17" spans="2:9" x14ac:dyDescent="0.2">
      <c r="B17" s="80"/>
      <c r="E17" s="45" t="s">
        <v>584</v>
      </c>
      <c r="H17" s="5" t="s">
        <v>12</v>
      </c>
      <c r="I17" s="88" t="str">
        <f>IF(OR(Bygg!O22=2, Bygg!O22=3),Bygg!C33,"")</f>
        <v/>
      </c>
    </row>
    <row r="18" spans="2:9" x14ac:dyDescent="0.2">
      <c r="B18" s="80"/>
      <c r="D18" s="82"/>
      <c r="E18" s="45" t="s">
        <v>585</v>
      </c>
      <c r="F18" s="84"/>
      <c r="G18" s="84"/>
      <c r="H18" s="84" t="s">
        <v>11</v>
      </c>
      <c r="I18" s="88">
        <f>Bygg!G29</f>
        <v>0</v>
      </c>
    </row>
    <row r="19" spans="2:9" x14ac:dyDescent="0.2">
      <c r="B19" s="80"/>
      <c r="D19" s="82"/>
      <c r="E19" s="45" t="s">
        <v>55</v>
      </c>
      <c r="F19" s="84"/>
      <c r="G19" s="84"/>
      <c r="H19" s="84" t="s">
        <v>589</v>
      </c>
      <c r="I19" s="86" t="str">
        <f>Bygg!G22</f>
        <v>Lav</v>
      </c>
    </row>
    <row r="20" spans="2:9" x14ac:dyDescent="0.2">
      <c r="B20" s="80"/>
      <c r="D20" s="82"/>
      <c r="E20" s="45" t="s">
        <v>586</v>
      </c>
      <c r="F20" s="84"/>
      <c r="G20" s="84"/>
      <c r="H20" s="84" t="s">
        <v>12</v>
      </c>
      <c r="I20" s="88">
        <f>Bygg!G23</f>
        <v>0</v>
      </c>
    </row>
    <row r="21" spans="2:9" x14ac:dyDescent="0.2">
      <c r="B21" s="80"/>
      <c r="D21" s="82"/>
      <c r="E21" s="45" t="s">
        <v>587</v>
      </c>
      <c r="F21" s="84"/>
      <c r="G21" s="84"/>
      <c r="H21" s="84" t="s">
        <v>12</v>
      </c>
      <c r="I21" s="88">
        <f>Bygg!G24</f>
        <v>0</v>
      </c>
    </row>
    <row r="22" spans="2:9" x14ac:dyDescent="0.2">
      <c r="B22" s="74"/>
      <c r="C22" s="75"/>
      <c r="D22" s="76"/>
      <c r="E22" s="45" t="s">
        <v>588</v>
      </c>
      <c r="F22" s="84"/>
      <c r="G22" s="84"/>
      <c r="H22" s="84" t="s">
        <v>12</v>
      </c>
      <c r="I22" s="88" t="str">
        <f>IF(Bygg!O22=3,Bygg!G33,"")</f>
        <v/>
      </c>
    </row>
    <row r="23" spans="2:9" x14ac:dyDescent="0.2">
      <c r="I23" s="89"/>
    </row>
    <row r="24" spans="2:9" x14ac:dyDescent="0.2">
      <c r="B24" s="45" t="s">
        <v>590</v>
      </c>
      <c r="C24" s="90" t="str">
        <f>Terreng!B14</f>
        <v>0</v>
      </c>
      <c r="D24" s="84"/>
      <c r="E24" s="45" t="str">
        <f>IF(Terreng!K2=1,"Åpent opprørt hav.",IF(Terreng!K2=2,"Kystnær, opprørt sjø. Åpne vidder og strandsoner.",IF(Terreng!K2=3,"Landbruksområde, område med spredte små bygninger eller trær.",IF(Terreng!K2=4,"Småhusbebyggelse, industriområder eller skogsområder.",IF(Terreng!K2=5,"Byområder eller granskogsområder.","")))))</f>
        <v>Åpent opprørt hav.</v>
      </c>
      <c r="F24" s="84"/>
      <c r="G24" s="84"/>
      <c r="H24" s="84"/>
      <c r="I24" s="85"/>
    </row>
    <row r="25" spans="2:9" x14ac:dyDescent="0.2">
      <c r="C25" s="81"/>
    </row>
    <row r="26" spans="2:9" x14ac:dyDescent="0.2">
      <c r="B26" s="77" t="s">
        <v>591</v>
      </c>
      <c r="C26" s="91"/>
      <c r="D26" s="79"/>
      <c r="E26" s="45" t="str">
        <f>IF(Terreng!K17=1,"Flatt terreng",IF(Terreng!K17=3,"Forhøyning",IF(Terreng!K17=2,"Skråning",IF(Terreng!K17=4,"Regulær ås","Leside av bratt terreng"))))</f>
        <v>Flatt terreng</v>
      </c>
      <c r="F26" s="84"/>
      <c r="G26" s="84"/>
      <c r="H26" s="84"/>
      <c r="I26" s="85"/>
    </row>
    <row r="27" spans="2:9" x14ac:dyDescent="0.2">
      <c r="B27" s="80"/>
      <c r="E27" s="45" t="str">
        <f>IF(Terreng!K17=1,"","Lokal høyde")</f>
        <v/>
      </c>
      <c r="F27" s="84"/>
      <c r="G27" s="84"/>
      <c r="H27" s="84" t="str">
        <f>IF(Terreng!K17=1,"","H (m)")</f>
        <v/>
      </c>
      <c r="I27" s="85" t="str">
        <f>IF(Terreng!K17=1,"",Terreng!M20)</f>
        <v/>
      </c>
    </row>
    <row r="28" spans="2:9" x14ac:dyDescent="0.2">
      <c r="B28" s="80"/>
      <c r="E28" s="45" t="str">
        <f>IF(Terreng!K17=1,"","Lokal bredde")</f>
        <v/>
      </c>
      <c r="F28" s="84"/>
      <c r="G28" s="84"/>
      <c r="H28" s="84" t="str">
        <f>IF(Terreng!K17=1,"","LH (m)")</f>
        <v/>
      </c>
      <c r="I28" s="85" t="str">
        <f>IF(Terreng!K17=1,"",Terreng!N20)</f>
        <v/>
      </c>
    </row>
    <row r="29" spans="2:9" x14ac:dyDescent="0.2">
      <c r="B29" s="80"/>
      <c r="E29" s="45" t="str">
        <f>IF(Terreng!K17=1,"","Lokal avstand")</f>
        <v/>
      </c>
      <c r="F29" s="84"/>
      <c r="G29" s="84"/>
      <c r="H29" s="84" t="str">
        <f>IF(Terreng!K17=1,"","X (m)")</f>
        <v/>
      </c>
      <c r="I29" s="85" t="str">
        <f>IF(Terreng!K17=1,"",Terreng!O20)</f>
        <v/>
      </c>
    </row>
    <row r="30" spans="2:9" x14ac:dyDescent="0.2">
      <c r="B30" s="74"/>
      <c r="C30" s="75"/>
      <c r="D30" s="75"/>
      <c r="E30" s="45" t="str">
        <f>IF(Terreng!K17=1,"","Helning")</f>
        <v/>
      </c>
      <c r="F30" s="84"/>
      <c r="G30" s="84"/>
      <c r="H30" s="84" t="str">
        <f>IF(Terreng!K17=1,"","(grader)")</f>
        <v/>
      </c>
      <c r="I30" s="92" t="str">
        <f>IF(Terreng!K17=1,"",Terreng!H19)</f>
        <v/>
      </c>
    </row>
    <row r="31" spans="2:9" x14ac:dyDescent="0.2">
      <c r="I31" s="93"/>
    </row>
    <row r="32" spans="2:9" x14ac:dyDescent="0.2">
      <c r="B32" s="77" t="s">
        <v>596</v>
      </c>
      <c r="C32" s="72"/>
      <c r="D32" s="72"/>
      <c r="E32" s="94" t="s">
        <v>594</v>
      </c>
      <c r="F32" s="77"/>
      <c r="G32" s="72"/>
      <c r="H32" s="72" t="s">
        <v>592</v>
      </c>
      <c r="I32" s="95">
        <f>Vindlast!C33</f>
        <v>32.98219500958254</v>
      </c>
    </row>
    <row r="33" spans="2:12" x14ac:dyDescent="0.2">
      <c r="B33" s="74"/>
      <c r="C33" s="75"/>
      <c r="D33" s="75"/>
      <c r="E33" s="96" t="s">
        <v>595</v>
      </c>
      <c r="F33" s="74"/>
      <c r="G33" s="75"/>
      <c r="H33" s="75" t="s">
        <v>593</v>
      </c>
      <c r="I33" s="97">
        <f>Vindlast!C31</f>
        <v>679.89074228133222</v>
      </c>
    </row>
    <row r="34" spans="2:12" x14ac:dyDescent="0.2">
      <c r="I34" s="93"/>
    </row>
    <row r="35" spans="2:12" x14ac:dyDescent="0.2">
      <c r="B35" s="77" t="s">
        <v>604</v>
      </c>
      <c r="C35" s="72"/>
      <c r="D35" s="72"/>
      <c r="E35" s="94" t="s">
        <v>605</v>
      </c>
      <c r="F35" s="77"/>
      <c r="G35" s="72"/>
      <c r="H35" s="72" t="str">
        <f>IF(Konstruksjon!I15=0,"Luft-tett","Ikke luft-tett")</f>
        <v>Ikke luft-tett</v>
      </c>
      <c r="I35" s="95"/>
    </row>
    <row r="36" spans="2:12" x14ac:dyDescent="0.2">
      <c r="B36" s="74"/>
      <c r="C36" s="75"/>
      <c r="D36" s="75"/>
      <c r="E36" s="74" t="s">
        <v>606</v>
      </c>
      <c r="F36" s="75"/>
      <c r="G36" s="75"/>
      <c r="H36" s="75" t="str">
        <f>IF(Konstruksjon!I21=0.2,"Tett bygg, ingen dom. vindfasade","Åpent bygg med dom. vindfasade")</f>
        <v>Åpent bygg med dom. vindfasade</v>
      </c>
      <c r="I36" s="97"/>
    </row>
    <row r="37" spans="2:12" ht="13.5" thickBot="1" x14ac:dyDescent="0.25"/>
    <row r="38" spans="2:12" ht="13.5" thickTop="1" x14ac:dyDescent="0.2">
      <c r="B38" s="98" t="s">
        <v>597</v>
      </c>
      <c r="C38" s="99"/>
      <c r="D38" s="99"/>
      <c r="E38" s="100" t="s">
        <v>6</v>
      </c>
      <c r="F38" s="99"/>
      <c r="G38" s="99"/>
      <c r="H38" s="101" t="s">
        <v>552</v>
      </c>
      <c r="I38" s="102"/>
    </row>
    <row r="39" spans="2:12" x14ac:dyDescent="0.2">
      <c r="B39" s="103" t="s">
        <v>13</v>
      </c>
      <c r="C39" s="72"/>
      <c r="D39" s="79"/>
      <c r="E39" s="72">
        <f>Tekking!C29</f>
        <v>0</v>
      </c>
      <c r="F39" s="104"/>
      <c r="G39" s="72"/>
      <c r="H39" s="77">
        <f>Tekking!E29</f>
        <v>0</v>
      </c>
      <c r="I39" s="105"/>
    </row>
    <row r="40" spans="2:12" x14ac:dyDescent="0.2">
      <c r="B40" s="106" t="str">
        <f>Tekking!B30</f>
        <v>Bredde (m)</v>
      </c>
      <c r="E40" s="107">
        <f>Tekking!C30</f>
        <v>0</v>
      </c>
      <c r="F40" s="81"/>
      <c r="H40" s="107">
        <f>Tekking!E30</f>
        <v>0</v>
      </c>
      <c r="I40" s="108"/>
    </row>
    <row r="41" spans="2:12" x14ac:dyDescent="0.2">
      <c r="B41" s="106" t="s">
        <v>551</v>
      </c>
      <c r="D41" s="82"/>
      <c r="E41" s="93">
        <f>Tekking!C32</f>
        <v>0</v>
      </c>
      <c r="H41" s="80">
        <f>Tekking!E32</f>
        <v>0</v>
      </c>
      <c r="I41" s="109"/>
    </row>
    <row r="42" spans="2:12" x14ac:dyDescent="0.2">
      <c r="B42" s="106" t="s">
        <v>609</v>
      </c>
      <c r="E42" s="80">
        <f>Tekking!C33</f>
        <v>0</v>
      </c>
      <c r="H42" s="80">
        <f>Tekking!E33</f>
        <v>0</v>
      </c>
      <c r="I42" s="110"/>
    </row>
    <row r="43" spans="2:12" x14ac:dyDescent="0.2">
      <c r="B43" s="106" t="s">
        <v>598</v>
      </c>
      <c r="D43" s="82"/>
      <c r="E43" s="80">
        <f>Tekking!C34</f>
        <v>0</v>
      </c>
      <c r="H43" s="80">
        <f>E43</f>
        <v>0</v>
      </c>
      <c r="I43" s="110"/>
    </row>
    <row r="44" spans="2:12" ht="13.5" thickBot="1" x14ac:dyDescent="0.25">
      <c r="B44" s="111" t="s">
        <v>549</v>
      </c>
      <c r="C44" s="112"/>
      <c r="D44" s="112"/>
      <c r="E44" s="156">
        <f>Tekking!C28</f>
        <v>0</v>
      </c>
      <c r="F44" s="112"/>
      <c r="G44" s="112"/>
      <c r="H44" s="156">
        <f>Tekking!E28</f>
        <v>0</v>
      </c>
      <c r="I44" s="113"/>
    </row>
    <row r="45" spans="2:12" ht="14.25" thickTop="1" thickBot="1" x14ac:dyDescent="0.25"/>
    <row r="46" spans="2:12" ht="26.25" thickTop="1" x14ac:dyDescent="0.2">
      <c r="B46" s="114" t="s">
        <v>563</v>
      </c>
      <c r="C46" s="115" t="s">
        <v>599</v>
      </c>
      <c r="D46" s="116"/>
      <c r="E46" s="115" t="s">
        <v>600</v>
      </c>
      <c r="F46" s="117" t="s">
        <v>567</v>
      </c>
      <c r="G46" s="116"/>
      <c r="H46" s="115" t="s">
        <v>601</v>
      </c>
      <c r="I46" s="118" t="s">
        <v>602</v>
      </c>
    </row>
    <row r="47" spans="2:12" x14ac:dyDescent="0.2">
      <c r="B47" s="119" t="s">
        <v>573</v>
      </c>
      <c r="C47" s="120" t="str">
        <f>Konstruksjon!D27</f>
        <v/>
      </c>
      <c r="D47" s="44"/>
      <c r="E47" s="120" t="str">
        <f>IF(Konstruksjon!$O$38=1, Konstruksjon!F27, Konstruksjon!F42)</f>
        <v/>
      </c>
      <c r="F47" s="121" t="str">
        <f>IF(Konstruksjon!$O$38=1, Konstruksjon!G27, Konstruksjon!G42)</f>
        <v/>
      </c>
      <c r="G47" s="44"/>
      <c r="H47" s="122" t="str">
        <f>IF(Konstruksjon!$O$38=1, Konstruksjon!H27, Konstruksjon!H42)</f>
        <v/>
      </c>
      <c r="I47" s="123" t="str">
        <f>IF(Bygg!$O$22=3,IF(Konstruksjon!$O$38=1, Konstruksjon!I27, Konstruksjon!I42),"")</f>
        <v/>
      </c>
    </row>
    <row r="48" spans="2:12" x14ac:dyDescent="0.2">
      <c r="B48" s="124" t="s">
        <v>574</v>
      </c>
      <c r="C48" s="120">
        <f>Konstruksjon!D28</f>
        <v>2937.1280066553554</v>
      </c>
      <c r="D48" s="44"/>
      <c r="E48" s="120" t="e">
        <f>IF(Konstruksjon!$O$38=1, Konstruksjon!F28, Konstruksjon!F43)</f>
        <v>#DIV/0!</v>
      </c>
      <c r="F48" s="121" t="e">
        <f>IF(Konstruksjon!$O$38=1, Konstruksjon!G28, Konstruksjon!G43)</f>
        <v>#DIV/0!</v>
      </c>
      <c r="G48" s="121"/>
      <c r="H48" s="122">
        <f>IF(Konstruksjon!$O$38=1, Konstruksjon!H28, Konstruksjon!H43)</f>
        <v>0</v>
      </c>
      <c r="I48" s="123" t="e">
        <f>IF(Konstruksjon!$O$38=1, Konstruksjon!I28, Konstruksjon!I43)</f>
        <v>#DIV/0!</v>
      </c>
      <c r="K48" s="125"/>
      <c r="L48" s="125"/>
    </row>
    <row r="49" spans="2:12" x14ac:dyDescent="0.2">
      <c r="B49" s="124" t="s">
        <v>575</v>
      </c>
      <c r="C49" s="120">
        <f>Konstruksjon!D29</f>
        <v>2478.2017556154565</v>
      </c>
      <c r="D49" s="44"/>
      <c r="E49" s="120" t="e">
        <f>IF(Konstruksjon!$O$38=1, Konstruksjon!F29, Konstruksjon!F44)</f>
        <v>#DIV/0!</v>
      </c>
      <c r="F49" s="121" t="e">
        <f>IF(Konstruksjon!$O$38=1, Konstruksjon!G29, Konstruksjon!G44)</f>
        <v>#DIV/0!</v>
      </c>
      <c r="G49" s="121"/>
      <c r="H49" s="122">
        <f>IF(Konstruksjon!$O$38=1, Konstruksjon!H29, Konstruksjon!H44)</f>
        <v>0</v>
      </c>
      <c r="I49" s="123" t="e">
        <f>IF(Konstruksjon!$O$38=1, Konstruksjon!I29, Konstruksjon!I44)</f>
        <v>#DIV/0!</v>
      </c>
      <c r="K49" s="16"/>
      <c r="L49" s="16"/>
    </row>
    <row r="50" spans="2:12" ht="13.5" thickBot="1" x14ac:dyDescent="0.25">
      <c r="B50" s="126" t="s">
        <v>6</v>
      </c>
      <c r="C50" s="127">
        <f>Konstruksjon!D30</f>
        <v>1560.3492535356575</v>
      </c>
      <c r="D50" s="128"/>
      <c r="E50" s="127" t="e">
        <f>IF(Konstruksjon!$O$38=1, Konstruksjon!F30, Konstruksjon!F45)</f>
        <v>#DIV/0!</v>
      </c>
      <c r="F50" s="129" t="e">
        <f>IF(Konstruksjon!$O$38=1, Konstruksjon!G30, Konstruksjon!G45)</f>
        <v>#DIV/0!</v>
      </c>
      <c r="G50" s="129"/>
      <c r="H50" s="130">
        <f>IF(Konstruksjon!$O$38=1, Konstruksjon!H30, Konstruksjon!H45)</f>
        <v>0</v>
      </c>
      <c r="I50" s="131" t="e">
        <f>IF(Konstruksjon!$O$38=1, Konstruksjon!I30, Konstruksjon!I45)</f>
        <v>#DIV/0!</v>
      </c>
      <c r="K50" s="16"/>
      <c r="L50" s="16"/>
    </row>
    <row r="51" spans="2:12" ht="13.5" thickTop="1" x14ac:dyDescent="0.2">
      <c r="K51" s="16"/>
      <c r="L51" s="16"/>
    </row>
    <row r="52" spans="2:12" x14ac:dyDescent="0.2">
      <c r="C52" s="93"/>
      <c r="D52" s="132" t="s">
        <v>576</v>
      </c>
      <c r="E52" s="133" t="e">
        <f>IF(Konstruksjon!$O$38=1, Konstruksjon!F32, Konstruksjon!F47)</f>
        <v>#DIV/0!</v>
      </c>
    </row>
    <row r="55" spans="2:12" x14ac:dyDescent="0.2">
      <c r="B55" s="5" t="s">
        <v>29</v>
      </c>
    </row>
    <row r="58" spans="2:12" x14ac:dyDescent="0.2">
      <c r="D58" s="13"/>
    </row>
  </sheetData>
  <sheetProtection password="82FB" sheet="1" objects="1" scenarios="1" selectLockedCells="1"/>
  <phoneticPr fontId="0" type="noConversion"/>
  <pageMargins left="0.78740157480314965" right="0.39370078740157483" top="0.98425196850393704" bottom="0.98425196850393704" header="0.51181102362204722" footer="0.51181102362204722"/>
  <pageSetup paperSize="9" orientation="portrait" r:id="rId1"/>
  <headerFooter alignWithMargins="0">
    <oddFooter xml:space="preserve">&amp;L&amp;8Denne beregningen er basert på TPF nr. 5 med tilhørende standarder. TPF har intet ansvar for eventuelle skader eller tap, direkte eller indirekte forårsaket som følge av denne beregningen. Resultatet skal alltid vurderes av en ekspert.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F49"/>
  <sheetViews>
    <sheetView showGridLines="0" workbookViewId="0">
      <selection activeCell="B3" sqref="B3"/>
    </sheetView>
  </sheetViews>
  <sheetFormatPr defaultColWidth="11.42578125" defaultRowHeight="12.75" x14ac:dyDescent="0.2"/>
  <cols>
    <col min="1" max="1" width="3.5703125" style="5" customWidth="1"/>
    <col min="2" max="2" width="18.7109375" style="5" customWidth="1"/>
    <col min="3" max="5" width="26.140625" style="5" bestFit="1" customWidth="1"/>
    <col min="6" max="6" width="23.85546875" style="5" customWidth="1"/>
    <col min="7" max="16384" width="11.42578125" style="5"/>
  </cols>
  <sheetData>
    <row r="3" spans="2:5" x14ac:dyDescent="0.2">
      <c r="B3" s="20" t="s">
        <v>614</v>
      </c>
    </row>
    <row r="5" spans="2:5" x14ac:dyDescent="0.2">
      <c r="C5" s="16">
        <f>Bygg!C30</f>
        <v>0</v>
      </c>
      <c r="D5" s="176" t="s">
        <v>615</v>
      </c>
    </row>
    <row r="6" spans="2:5" x14ac:dyDescent="0.2">
      <c r="C6" s="16"/>
    </row>
    <row r="10" spans="2:5" x14ac:dyDescent="0.2">
      <c r="B10" s="134"/>
      <c r="D10" s="180" t="s">
        <v>616</v>
      </c>
    </row>
    <row r="11" spans="2:5" x14ac:dyDescent="0.2">
      <c r="C11" s="177" t="str">
        <f>IF(Bygg!O22=3,(CONCATENATE(Bygg!G33,"m")),"")</f>
        <v/>
      </c>
      <c r="D11" s="180"/>
    </row>
    <row r="13" spans="2:5" x14ac:dyDescent="0.2">
      <c r="E13" s="134"/>
    </row>
    <row r="14" spans="2:5" ht="12.75" customHeight="1" x14ac:dyDescent="0.2">
      <c r="B14" s="134"/>
      <c r="D14" s="181" t="s">
        <v>617</v>
      </c>
    </row>
    <row r="15" spans="2:5" x14ac:dyDescent="0.2">
      <c r="D15" s="181"/>
    </row>
    <row r="20" spans="2:6" x14ac:dyDescent="0.2">
      <c r="F20" s="173"/>
    </row>
    <row r="21" spans="2:6" x14ac:dyDescent="0.2">
      <c r="B21" s="12"/>
      <c r="C21" s="135" t="s">
        <v>574</v>
      </c>
      <c r="D21" s="135" t="str">
        <f>IF(Bygg!O22=4,"Randfelt på ende","Randfelt")</f>
        <v>Randfelt</v>
      </c>
      <c r="E21" s="135" t="s">
        <v>6</v>
      </c>
      <c r="F21" s="171" t="s">
        <v>573</v>
      </c>
    </row>
    <row r="22" spans="2:6" x14ac:dyDescent="0.2">
      <c r="B22" s="12" t="s">
        <v>13</v>
      </c>
      <c r="C22" s="62">
        <f>Resultat!H39</f>
        <v>0</v>
      </c>
      <c r="D22" s="62">
        <f>Resultat!H39</f>
        <v>0</v>
      </c>
      <c r="E22" s="62">
        <f>Resultat!E39</f>
        <v>0</v>
      </c>
      <c r="F22" s="172">
        <f>E22</f>
        <v>0</v>
      </c>
    </row>
    <row r="23" spans="2:6" x14ac:dyDescent="0.2">
      <c r="B23" s="12" t="str">
        <f>Resultat!B40</f>
        <v>Bredde (m)</v>
      </c>
      <c r="C23" s="136">
        <f>Resultat!H40</f>
        <v>0</v>
      </c>
      <c r="D23" s="136">
        <f>Resultat!H40</f>
        <v>0</v>
      </c>
      <c r="E23" s="136">
        <f>Resultat!E40</f>
        <v>0</v>
      </c>
      <c r="F23" s="174">
        <f>D23</f>
        <v>0</v>
      </c>
    </row>
    <row r="24" spans="2:6" x14ac:dyDescent="0.2">
      <c r="B24" s="12" t="s">
        <v>551</v>
      </c>
      <c r="C24" s="137">
        <f>Resultat!H41</f>
        <v>0</v>
      </c>
      <c r="D24" s="137">
        <f>Resultat!H41</f>
        <v>0</v>
      </c>
      <c r="E24" s="137">
        <f>Resultat!E41</f>
        <v>0</v>
      </c>
      <c r="F24" s="175">
        <f>D24</f>
        <v>0</v>
      </c>
    </row>
    <row r="25" spans="2:6" x14ac:dyDescent="0.2">
      <c r="B25" s="12" t="s">
        <v>609</v>
      </c>
      <c r="C25" s="137">
        <f>Resultat!H42</f>
        <v>0</v>
      </c>
      <c r="D25" s="137">
        <f>Resultat!H42</f>
        <v>0</v>
      </c>
      <c r="E25" s="137">
        <f>Resultat!E42</f>
        <v>0</v>
      </c>
      <c r="F25" s="175">
        <f>D25</f>
        <v>0</v>
      </c>
    </row>
    <row r="26" spans="2:6" x14ac:dyDescent="0.2">
      <c r="B26" s="12" t="s">
        <v>603</v>
      </c>
      <c r="C26" s="136" t="e">
        <f>Resultat!I48</f>
        <v>#DIV/0!</v>
      </c>
      <c r="D26" s="136" t="e">
        <f>Resultat!I49</f>
        <v>#DIV/0!</v>
      </c>
      <c r="E26" s="136" t="e">
        <f>Resultat!I50</f>
        <v>#DIV/0!</v>
      </c>
      <c r="F26" s="174" t="str">
        <f>Resultat!I47</f>
        <v/>
      </c>
    </row>
    <row r="49" spans="6:6" x14ac:dyDescent="0.2">
      <c r="F49" s="178"/>
    </row>
  </sheetData>
  <sheetProtection algorithmName="SHA-512" hashValue="+ONN0qsR/SNq4MbXprNxyWvBaLrgjkD/t/ZjZVGQIjqD/x30YC+L4YRj5qHZc78I2HIg8bDpReErQhksWq5ziQ==" saltValue="31cWTnOhpdRyqdaivmt5tQ==" spinCount="100000" sheet="1" objects="1" scenarios="1" selectLockedCells="1"/>
  <mergeCells count="2">
    <mergeCell ref="D10:D11"/>
    <mergeCell ref="D14:D15"/>
  </mergeCells>
  <phoneticPr fontId="18" type="noConversion"/>
  <pageMargins left="0.78740157499999996" right="0.78740157499999996" top="0.984251969" bottom="0.984251969" header="0.5" footer="0.5"/>
  <pageSetup paperSize="9"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2" stopIfTrue="1" id="{9BF186B1-6763-477A-80A1-01A61D877AFA}">
            <xm:f>Bygg!$O$22=3</xm:f>
            <x14:dxf>
              <fill>
                <patternFill patternType="lightDown">
                  <fgColor theme="5" tint="0.59996337778862885"/>
                  <bgColor theme="0"/>
                </patternFill>
              </fill>
              <border>
                <left/>
                <right/>
                <top style="dashed">
                  <color rgb="FFFF0000"/>
                </top>
                <bottom style="dashed">
                  <color rgb="FFFF0000"/>
                </bottom>
                <vertical/>
                <horizontal/>
              </border>
            </x14:dxf>
          </x14:cfRule>
          <xm:sqref>C12:D13</xm:sqref>
        </x14:conditionalFormatting>
        <x14:conditionalFormatting xmlns:xm="http://schemas.microsoft.com/office/excel/2006/main">
          <x14:cfRule type="expression" priority="1" stopIfTrue="1" id="{306807C5-971D-4C95-BF16-0F7A80AB8C61}">
            <xm:f>Bygg!$O$22=3</xm:f>
            <x14:dxf>
              <font>
                <color theme="1"/>
              </font>
            </x14:dxf>
          </x14:cfRule>
          <xm:sqref>D10:D11 D14:D15</xm:sqref>
        </x14:conditionalFormatting>
        <x14:conditionalFormatting xmlns:xm="http://schemas.microsoft.com/office/excel/2006/main">
          <x14:cfRule type="expression" priority="4" id="{7A4A66DC-4744-4CE4-B393-C74BE1525C1D}">
            <xm:f>Bygg!$O$22=3</xm:f>
            <x14:dxf>
              <font>
                <color theme="1"/>
              </font>
              <fill>
                <patternFill patternType="lightDown">
                  <fgColor theme="5" tint="0.59996337778862885"/>
                </patternFill>
              </fill>
              <border>
                <right style="thin">
                  <color auto="1"/>
                </right>
                <top style="thin">
                  <color auto="1"/>
                </top>
                <bottom style="thin">
                  <color auto="1"/>
                </bottom>
                <vertical/>
                <horizontal/>
              </border>
            </x14:dxf>
          </x14:cfRule>
          <xm:sqref>F21</xm:sqref>
        </x14:conditionalFormatting>
        <x14:conditionalFormatting xmlns:xm="http://schemas.microsoft.com/office/excel/2006/main">
          <x14:cfRule type="expression" priority="3" id="{E74FA25D-8744-408D-8A38-762BB8DBC4DB}">
            <xm:f>Bygg!$O$22=3</xm:f>
            <x14:dxf>
              <font>
                <color theme="1"/>
              </font>
              <fill>
                <patternFill>
                  <bgColor rgb="FFFFFFCC"/>
                </patternFill>
              </fill>
              <border>
                <left style="thin">
                  <color auto="1"/>
                </left>
                <right style="thin">
                  <color auto="1"/>
                </right>
                <top style="thin">
                  <color auto="1"/>
                </top>
                <bottom style="thin">
                  <color auto="1"/>
                </bottom>
                <vertical/>
                <horizontal/>
              </border>
            </x14:dxf>
          </x14:cfRule>
          <xm:sqref>F22:F26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e266295-2041-4418-b550-7933ab6525b5" xsi:nil="true"/>
    <lcf76f155ced4ddcb4097134ff3c332f xmlns="aa0e2dbb-ed57-4b92-963d-8cd7c68f8f6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F98370A7E03104C88D5B8A83EE4B6B6" ma:contentTypeVersion="18" ma:contentTypeDescription="Create a new document." ma:contentTypeScope="" ma:versionID="57e3dc41b90a7aee04bc9cd121f6fa10">
  <xsd:schema xmlns:xsd="http://www.w3.org/2001/XMLSchema" xmlns:xs="http://www.w3.org/2001/XMLSchema" xmlns:p="http://schemas.microsoft.com/office/2006/metadata/properties" xmlns:ns2="aa0e2dbb-ed57-4b92-963d-8cd7c68f8f6b" xmlns:ns3="ee266295-2041-4418-b550-7933ab6525b5" targetNamespace="http://schemas.microsoft.com/office/2006/metadata/properties" ma:root="true" ma:fieldsID="70c977894c5227369ccff7d4c53c6140" ns2:_="" ns3:_="">
    <xsd:import namespace="aa0e2dbb-ed57-4b92-963d-8cd7c68f8f6b"/>
    <xsd:import namespace="ee266295-2041-4418-b550-7933ab6525b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0e2dbb-ed57-4b92-963d-8cd7c68f8f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88ade5-b78b-49d1-b4cb-52b3041fb7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e266295-2041-4418-b550-7933ab6525b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515fead-81bc-4468-b869-8d04b979f395}" ma:internalName="TaxCatchAll" ma:showField="CatchAllData" ma:web="ee266295-2041-4418-b550-7933ab6525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8C79CB-9654-4540-AB62-E09C710BABC1}">
  <ds:schemaRefs>
    <ds:schemaRef ds:uri="http://schemas.microsoft.com/office/2006/metadata/properties"/>
    <ds:schemaRef ds:uri="http://schemas.microsoft.com/office/infopath/2007/PartnerControls"/>
    <ds:schemaRef ds:uri="ee266295-2041-4418-b550-7933ab6525b5"/>
    <ds:schemaRef ds:uri="aa0e2dbb-ed57-4b92-963d-8cd7c68f8f6b"/>
  </ds:schemaRefs>
</ds:datastoreItem>
</file>

<file path=customXml/itemProps2.xml><?xml version="1.0" encoding="utf-8"?>
<ds:datastoreItem xmlns:ds="http://schemas.openxmlformats.org/officeDocument/2006/customXml" ds:itemID="{6148E8E6-680D-4092-9D55-525A2B014AAC}">
  <ds:schemaRefs>
    <ds:schemaRef ds:uri="http://schemas.microsoft.com/sharepoint/v3/contenttype/forms"/>
  </ds:schemaRefs>
</ds:datastoreItem>
</file>

<file path=customXml/itemProps3.xml><?xml version="1.0" encoding="utf-8"?>
<ds:datastoreItem xmlns:ds="http://schemas.openxmlformats.org/officeDocument/2006/customXml" ds:itemID="{C5F1CD2F-49A3-4A5B-AFAA-38A663EC3D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0e2dbb-ed57-4b92-963d-8cd7c68f8f6b"/>
    <ds:schemaRef ds:uri="ee266295-2041-4418-b550-7933ab6525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13</vt:i4>
      </vt:variant>
    </vt:vector>
  </HeadingPairs>
  <TitlesOfParts>
    <vt:vector size="20" baseType="lpstr">
      <vt:lpstr>Bygg</vt:lpstr>
      <vt:lpstr>Terreng</vt:lpstr>
      <vt:lpstr>Vindlast</vt:lpstr>
      <vt:lpstr>Tekking</vt:lpstr>
      <vt:lpstr>Konstruksjon</vt:lpstr>
      <vt:lpstr>Resultat</vt:lpstr>
      <vt:lpstr>Skisse flatt tak</vt:lpstr>
      <vt:lpstr>Fester</vt:lpstr>
      <vt:lpstr>Fester2</vt:lpstr>
      <vt:lpstr>FestKap</vt:lpstr>
      <vt:lpstr>Kap</vt:lpstr>
      <vt:lpstr>Kommune</vt:lpstr>
      <vt:lpstr>Kommuner</vt:lpstr>
      <vt:lpstr>Skruekap</vt:lpstr>
      <vt:lpstr>Skruer</vt:lpstr>
      <vt:lpstr>SpikeKap</vt:lpstr>
      <vt:lpstr>Tak</vt:lpstr>
      <vt:lpstr>Underlag</vt:lpstr>
      <vt:lpstr>vref</vt:lpstr>
      <vt:lpstr>vref2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Igor Kozlov Sjøstrand</dc:creator>
  <cp:lastModifiedBy>Paul Kenny</cp:lastModifiedBy>
  <cp:lastPrinted>2008-09-08T08:48:50Z</cp:lastPrinted>
  <dcterms:created xsi:type="dcterms:W3CDTF">2003-02-23T07:37:49Z</dcterms:created>
  <dcterms:modified xsi:type="dcterms:W3CDTF">2025-09-29T11:58:22Z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0x010100AF98370A7E03104C88D5B8A83EE4B6B6</vt:lpwstr>
  </property>
  <property fmtid="{D5CDD505-2E9C-101B-9397-08002B2CF9AE}" pid="4" name="MediaServiceImageTags">
    <vt:lpwstr/>
  </property>
</Properties>
</file>