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tdpettersen\Documents\TPF\"/>
    </mc:Choice>
  </mc:AlternateContent>
  <xr:revisionPtr revIDLastSave="0" documentId="8_{C1D81354-9124-46A5-BED9-13FEA0CC47DC}" xr6:coauthVersionLast="40" xr6:coauthVersionMax="40" xr10:uidLastSave="{00000000-0000-0000-0000-000000000000}"/>
  <bookViews>
    <workbookView xWindow="2196" yWindow="2196" windowWidth="17280" windowHeight="8964" tabRatio="678" activeTab="1" xr2:uid="{00000000-000D-0000-FFFF-FFFF00000000}"/>
  </bookViews>
  <sheets>
    <sheet name="Ark1" sheetId="17" r:id="rId1"/>
    <sheet name="Nøyaktig beregning" sheetId="1" r:id="rId2"/>
    <sheet name="Forenklet beregning" sheetId="12" r:id="rId3"/>
    <sheet name="Materialdata" sheetId="16" r:id="rId4"/>
    <sheet name="Veiledning" sheetId="2" r:id="rId5"/>
    <sheet name="Takeksempel 1" sheetId="13" r:id="rId6"/>
    <sheet name="Takeksempel 2" sheetId="14" r:id="rId7"/>
    <sheet name="Takeksempel 3" sheetId="15" r:id="rId8"/>
    <sheet name="Formelgrunnlag" sheetId="3" r:id="rId9"/>
  </sheets>
  <definedNames>
    <definedName name="Asfalt_takbelegg" comment="Asfalt takbelegg" localSheetId="2">'Forenklet beregning'!#REF!</definedName>
    <definedName name="Asfalt_takbelegg" comment="Asfalt takbelegg" localSheetId="5">'Takeksempel 1'!$C$54</definedName>
    <definedName name="Asfalt_takbelegg" comment="Asfalt takbelegg" localSheetId="6">'Takeksempel 2'!$C$54</definedName>
    <definedName name="Asfalt_takbelegg" comment="Asfalt takbelegg" localSheetId="7">'Takeksempel 3'!$C$59</definedName>
    <definedName name="Asfalt_takbelegg" comment="Asfalt takbelegg">'Nøyaktig beregning'!$C$31</definedName>
    <definedName name="_xlnm.Print_Area" localSheetId="2">'Forenklet beregning'!$B$7:$F$47</definedName>
    <definedName name="_xlnm.Print_Area" localSheetId="1">'Nøyaktig beregning'!$A$7:$N$48</definedName>
    <definedName name="_xlnm.Print_Area" localSheetId="6">'Takeksempel 2'!$A$32:$N$70</definedName>
    <definedName name="_xlnm.Print_Area" localSheetId="7">'Takeksempel 3'!$A$37:$N$75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4" i="1" l="1"/>
  <c r="Q14" i="1"/>
  <c r="R14" i="1"/>
  <c r="T14" i="1"/>
  <c r="U14" i="1"/>
  <c r="V14" i="1"/>
  <c r="P15" i="1"/>
  <c r="Q15" i="1"/>
  <c r="R15" i="1"/>
  <c r="T15" i="1"/>
  <c r="U15" i="1" s="1"/>
  <c r="V15" i="1"/>
  <c r="P16" i="1"/>
  <c r="Q16" i="1"/>
  <c r="R16" i="1"/>
  <c r="T16" i="1"/>
  <c r="U16" i="1" s="1"/>
  <c r="V16" i="1"/>
  <c r="P17" i="1"/>
  <c r="Q17" i="1"/>
  <c r="R17" i="1"/>
  <c r="T17" i="1"/>
  <c r="U17" i="1" s="1"/>
  <c r="V17" i="1"/>
  <c r="P18" i="1"/>
  <c r="Q18" i="1"/>
  <c r="R18" i="1"/>
  <c r="T18" i="1"/>
  <c r="U18" i="1" s="1"/>
  <c r="V18" i="1"/>
  <c r="P19" i="1"/>
  <c r="Q19" i="1"/>
  <c r="R19" i="1"/>
  <c r="T19" i="1"/>
  <c r="U19" i="1" s="1"/>
  <c r="V19" i="1"/>
  <c r="AJ13" i="1"/>
  <c r="Q13" i="1"/>
  <c r="P13" i="1"/>
  <c r="P5" i="1"/>
  <c r="F42" i="1" l="1"/>
  <c r="AF14" i="1" l="1"/>
  <c r="AG14" i="1"/>
  <c r="AH14" i="1"/>
  <c r="AI14" i="1"/>
  <c r="AJ14" i="1"/>
  <c r="AF15" i="1"/>
  <c r="AG15" i="1"/>
  <c r="AH15" i="1"/>
  <c r="AI15" i="1"/>
  <c r="AJ15" i="1"/>
  <c r="AF16" i="1"/>
  <c r="AG16" i="1"/>
  <c r="AH16" i="1"/>
  <c r="AI16" i="1"/>
  <c r="AJ16" i="1"/>
  <c r="AF17" i="1"/>
  <c r="AG17" i="1"/>
  <c r="AH17" i="1"/>
  <c r="AI17" i="1"/>
  <c r="AJ17" i="1"/>
  <c r="AF18" i="1"/>
  <c r="AG18" i="1"/>
  <c r="AH18" i="1"/>
  <c r="AI18" i="1"/>
  <c r="AJ18" i="1"/>
  <c r="AF19" i="1"/>
  <c r="AG19" i="1"/>
  <c r="AH19" i="1"/>
  <c r="AI19" i="1"/>
  <c r="AJ19" i="1"/>
  <c r="AF32" i="1"/>
  <c r="AG32" i="1"/>
  <c r="AH32" i="1"/>
  <c r="AI32" i="1"/>
  <c r="AJ32" i="1"/>
  <c r="AF33" i="1"/>
  <c r="AG33" i="1"/>
  <c r="AH33" i="1"/>
  <c r="AI33" i="1"/>
  <c r="AJ33" i="1"/>
  <c r="AF34" i="1"/>
  <c r="AG34" i="1"/>
  <c r="AH34" i="1"/>
  <c r="AI34" i="1"/>
  <c r="AJ34" i="1"/>
  <c r="AF35" i="1"/>
  <c r="AG35" i="1"/>
  <c r="AH35" i="1"/>
  <c r="AI35" i="1"/>
  <c r="AJ35" i="1"/>
  <c r="AF36" i="1"/>
  <c r="AG36" i="1"/>
  <c r="AH36" i="1"/>
  <c r="AI36" i="1"/>
  <c r="AJ36" i="1"/>
  <c r="AF37" i="1"/>
  <c r="AG37" i="1"/>
  <c r="AH37" i="1"/>
  <c r="AI37" i="1"/>
  <c r="AJ37" i="1"/>
  <c r="AL58" i="1"/>
  <c r="AP61" i="1"/>
  <c r="AQ61" i="1" s="1"/>
  <c r="AG31" i="1"/>
  <c r="AG13" i="1"/>
  <c r="AG20" i="1"/>
  <c r="AF31" i="1"/>
  <c r="AF13" i="1"/>
  <c r="AJ31" i="1"/>
  <c r="AI31" i="1"/>
  <c r="AH31" i="1"/>
  <c r="AI13" i="1"/>
  <c r="AH13" i="1"/>
  <c r="AO58" i="1" l="1"/>
  <c r="AP60" i="1"/>
  <c r="AP59" i="1" s="1"/>
  <c r="AP58" i="1" s="1"/>
  <c r="AO59" i="1"/>
  <c r="AL59" i="1"/>
  <c r="AO60" i="1"/>
  <c r="AO61" i="1"/>
  <c r="Z37" i="1"/>
  <c r="Y37" i="1"/>
  <c r="X37" i="1"/>
  <c r="V37" i="1"/>
  <c r="T37" i="1"/>
  <c r="U37" i="1" s="1"/>
  <c r="R37" i="1"/>
  <c r="Q37" i="1"/>
  <c r="P37" i="1"/>
  <c r="Z36" i="1"/>
  <c r="Y36" i="1"/>
  <c r="X36" i="1"/>
  <c r="V36" i="1"/>
  <c r="T36" i="1"/>
  <c r="U36" i="1" s="1"/>
  <c r="R36" i="1"/>
  <c r="Q36" i="1"/>
  <c r="P36" i="1"/>
  <c r="Z35" i="1"/>
  <c r="Y35" i="1"/>
  <c r="X35" i="1"/>
  <c r="V35" i="1"/>
  <c r="T35" i="1"/>
  <c r="U35" i="1" s="1"/>
  <c r="R35" i="1"/>
  <c r="Q35" i="1"/>
  <c r="P35" i="1"/>
  <c r="Z34" i="1"/>
  <c r="Y34" i="1"/>
  <c r="X34" i="1"/>
  <c r="V34" i="1"/>
  <c r="T34" i="1"/>
  <c r="U34" i="1" s="1"/>
  <c r="R34" i="1"/>
  <c r="Q34" i="1"/>
  <c r="P34" i="1"/>
  <c r="Z33" i="1"/>
  <c r="Y33" i="1"/>
  <c r="X33" i="1"/>
  <c r="V33" i="1"/>
  <c r="T33" i="1"/>
  <c r="U33" i="1" s="1"/>
  <c r="R33" i="1"/>
  <c r="Q33" i="1"/>
  <c r="P33" i="1"/>
  <c r="Y32" i="1"/>
  <c r="X32" i="1"/>
  <c r="T32" i="1"/>
  <c r="R32" i="1"/>
  <c r="Q32" i="1"/>
  <c r="P32" i="1"/>
  <c r="Y31" i="1"/>
  <c r="X31" i="1"/>
  <c r="T31" i="1"/>
  <c r="R31" i="1"/>
  <c r="Q31" i="1"/>
  <c r="P31" i="1"/>
  <c r="Z19" i="1"/>
  <c r="Y19" i="1"/>
  <c r="Z18" i="1"/>
  <c r="Y18" i="1"/>
  <c r="Z17" i="1"/>
  <c r="Y17" i="1"/>
  <c r="Z16" i="1"/>
  <c r="Y16" i="1"/>
  <c r="Z15" i="1"/>
  <c r="Y15" i="1"/>
  <c r="Z14" i="1"/>
  <c r="Y14" i="1"/>
  <c r="Y13" i="1"/>
  <c r="T13" i="1"/>
  <c r="U13" i="1" s="1"/>
  <c r="R13" i="1"/>
  <c r="E26" i="1" l="1"/>
  <c r="AQ60" i="1"/>
  <c r="AQ59" i="1" s="1"/>
  <c r="AQ58" i="1" s="1"/>
  <c r="U31" i="1"/>
  <c r="U32" i="1"/>
  <c r="S33" i="1"/>
  <c r="W33" i="1" s="1"/>
  <c r="S34" i="1"/>
  <c r="W34" i="1" s="1"/>
  <c r="S35" i="1"/>
  <c r="W35" i="1" s="1"/>
  <c r="S36" i="1"/>
  <c r="W36" i="1" s="1"/>
  <c r="S37" i="1"/>
  <c r="W37" i="1" s="1"/>
  <c r="D47" i="12"/>
  <c r="E37" i="1" l="1"/>
  <c r="F37" i="1" s="1"/>
  <c r="E35" i="12"/>
  <c r="F35" i="12" s="1"/>
  <c r="E32" i="12"/>
  <c r="E33" i="12"/>
  <c r="E31" i="12"/>
  <c r="F36" i="1"/>
  <c r="E33" i="1"/>
  <c r="E34" i="1"/>
  <c r="E35" i="1"/>
  <c r="E32" i="1"/>
  <c r="AB13" i="1" l="1"/>
  <c r="AB19" i="1"/>
  <c r="AB15" i="1"/>
  <c r="AB18" i="1"/>
  <c r="AB31" i="1"/>
  <c r="AB33" i="1"/>
  <c r="AA37" i="1"/>
  <c r="AB32" i="1"/>
  <c r="AA31" i="1"/>
  <c r="AB34" i="1"/>
  <c r="AB37" i="1"/>
  <c r="AB14" i="1"/>
  <c r="AA35" i="1"/>
  <c r="AB17" i="1"/>
  <c r="AA34" i="1"/>
  <c r="AB16" i="1"/>
  <c r="AA32" i="1"/>
  <c r="AA33" i="1"/>
  <c r="AB35" i="1"/>
  <c r="AA36" i="1"/>
  <c r="AB36" i="1"/>
  <c r="F44" i="1"/>
  <c r="S17" i="1" l="1"/>
  <c r="W17" i="1" s="1"/>
  <c r="S14" i="1"/>
  <c r="W14" i="1" s="1"/>
  <c r="S15" i="1"/>
  <c r="W15" i="1" s="1"/>
  <c r="S16" i="1"/>
  <c r="W16" i="1" s="1"/>
  <c r="S18" i="1"/>
  <c r="W18" i="1" s="1"/>
  <c r="S19" i="1"/>
  <c r="W19" i="1" s="1"/>
  <c r="AE35" i="1"/>
  <c r="AE34" i="1"/>
  <c r="AE37" i="1"/>
  <c r="AE36" i="1"/>
  <c r="AD33" i="1"/>
  <c r="AC33" i="1"/>
  <c r="AD34" i="1"/>
  <c r="AC34" i="1"/>
  <c r="AC36" i="1"/>
  <c r="AD36" i="1"/>
  <c r="AD35" i="1"/>
  <c r="AC35" i="1"/>
  <c r="AD37" i="1"/>
  <c r="AC37" i="1"/>
  <c r="AE33" i="1"/>
  <c r="E25" i="12"/>
  <c r="T30" i="12"/>
  <c r="U30" i="12"/>
  <c r="S30" i="12"/>
  <c r="U13" i="12"/>
  <c r="T13" i="12"/>
  <c r="S13" i="12"/>
  <c r="E24" i="12"/>
  <c r="V13" i="12" l="1"/>
  <c r="V30" i="12"/>
  <c r="W30" i="12"/>
  <c r="AH36" i="12"/>
  <c r="AG36" i="12"/>
  <c r="AJ36" i="12" s="1"/>
  <c r="AF36" i="12"/>
  <c r="AI36" i="12" s="1"/>
  <c r="AB36" i="12"/>
  <c r="AC36" i="12" s="1"/>
  <c r="Y36" i="12"/>
  <c r="AH35" i="12"/>
  <c r="AG35" i="12"/>
  <c r="AJ35" i="12" s="1"/>
  <c r="AF35" i="12"/>
  <c r="AI35" i="12" s="1"/>
  <c r="AB35" i="12"/>
  <c r="AC35" i="12" s="1"/>
  <c r="Y35" i="12"/>
  <c r="F34" i="12"/>
  <c r="AH34" i="12"/>
  <c r="AG34" i="12"/>
  <c r="AJ34" i="12" s="1"/>
  <c r="AF34" i="12"/>
  <c r="AI34" i="12" s="1"/>
  <c r="AB34" i="12"/>
  <c r="AC34" i="12" s="1"/>
  <c r="Y34" i="12"/>
  <c r="F33" i="12"/>
  <c r="AH33" i="12"/>
  <c r="AG33" i="12"/>
  <c r="AJ33" i="12" s="1"/>
  <c r="AF33" i="12"/>
  <c r="AI33" i="12" s="1"/>
  <c r="AB33" i="12"/>
  <c r="AC33" i="12" s="1"/>
  <c r="Y33" i="12"/>
  <c r="F32" i="12"/>
  <c r="AH32" i="12"/>
  <c r="AG32" i="12"/>
  <c r="AJ32" i="12" s="1"/>
  <c r="AF32" i="12"/>
  <c r="AI32" i="12" s="1"/>
  <c r="AB32" i="12"/>
  <c r="AC32" i="12" s="1"/>
  <c r="Y32" i="12"/>
  <c r="AG31" i="12"/>
  <c r="AJ31" i="12" s="1"/>
  <c r="AF31" i="12"/>
  <c r="AI31" i="12" s="1"/>
  <c r="AB31" i="12"/>
  <c r="Y31" i="12"/>
  <c r="F31" i="12"/>
  <c r="AB30" i="12"/>
  <c r="AO19" i="12"/>
  <c r="AN19" i="12"/>
  <c r="Y19" i="12"/>
  <c r="AO18" i="12"/>
  <c r="AN18" i="12"/>
  <c r="Y18" i="12"/>
  <c r="AO17" i="12"/>
  <c r="AN17" i="12"/>
  <c r="Y17" i="12"/>
  <c r="AO16" i="12"/>
  <c r="AN16" i="12"/>
  <c r="AH16" i="12"/>
  <c r="AG16" i="12"/>
  <c r="AJ16" i="12" s="1"/>
  <c r="AB16" i="12"/>
  <c r="AC16" i="12" s="1"/>
  <c r="Y16" i="12"/>
  <c r="AO15" i="12"/>
  <c r="AN15" i="12"/>
  <c r="AH15" i="12"/>
  <c r="AG15" i="12"/>
  <c r="AB15" i="12"/>
  <c r="AC15" i="12" s="1"/>
  <c r="Y15" i="12"/>
  <c r="AO14" i="12"/>
  <c r="AN14" i="12"/>
  <c r="AH14" i="12"/>
  <c r="AG14" i="12"/>
  <c r="AJ14" i="12" s="1"/>
  <c r="AB14" i="12"/>
  <c r="AC14" i="12" s="1"/>
  <c r="Y14" i="12"/>
  <c r="AB13" i="12"/>
  <c r="AF30" i="12" l="1"/>
  <c r="AI30" i="12" s="1"/>
  <c r="Y13" i="12"/>
  <c r="AC13" i="12"/>
  <c r="AG13" i="12"/>
  <c r="AJ13" i="12" s="1"/>
  <c r="AN13" i="12"/>
  <c r="AO13" i="12"/>
  <c r="AG30" i="12"/>
  <c r="AJ30" i="12" s="1"/>
  <c r="Y30" i="12"/>
  <c r="Z35" i="12"/>
  <c r="AE35" i="12" s="1"/>
  <c r="AM34" i="12"/>
  <c r="L35" i="12"/>
  <c r="L36" i="12" s="1"/>
  <c r="Z34" i="12"/>
  <c r="AE34" i="12" s="1"/>
  <c r="AC31" i="12"/>
  <c r="AM33" i="12"/>
  <c r="AL34" i="12"/>
  <c r="AM35" i="12"/>
  <c r="AL35" i="12"/>
  <c r="Z16" i="12"/>
  <c r="AE16" i="12" s="1"/>
  <c r="AK32" i="12"/>
  <c r="AL32" i="12"/>
  <c r="AL33" i="12"/>
  <c r="AK33" i="12"/>
  <c r="AM36" i="12"/>
  <c r="AM32" i="12"/>
  <c r="AL36" i="12"/>
  <c r="AK36" i="12"/>
  <c r="AK35" i="12"/>
  <c r="Z33" i="12"/>
  <c r="AE33" i="12" s="1"/>
  <c r="Z14" i="12"/>
  <c r="AE14" i="12" s="1"/>
  <c r="AJ15" i="12"/>
  <c r="Z15" i="12" s="1"/>
  <c r="AE15" i="12" s="1"/>
  <c r="Z36" i="12"/>
  <c r="AE36" i="12" s="1"/>
  <c r="AK34" i="12"/>
  <c r="Z32" i="12"/>
  <c r="AE32" i="12" s="1"/>
  <c r="AC30" i="12" l="1"/>
  <c r="E19" i="12" s="1"/>
  <c r="L46" i="12" s="1"/>
  <c r="L41" i="12" s="1"/>
  <c r="AH13" i="12"/>
  <c r="Z13" i="12" s="1"/>
  <c r="AE13" i="12" s="1"/>
  <c r="AH31" i="12"/>
  <c r="AM31" i="12" s="1"/>
  <c r="Z31" i="12" s="1"/>
  <c r="AE31" i="12" s="1"/>
  <c r="AH30" i="12"/>
  <c r="AM30" i="12" s="1"/>
  <c r="E20" i="12"/>
  <c r="E21" i="12"/>
  <c r="E18" i="12"/>
  <c r="AN50" i="1"/>
  <c r="AK31" i="12" l="1"/>
  <c r="AL31" i="12"/>
  <c r="AL30" i="12"/>
  <c r="Z30" i="12" s="1"/>
  <c r="AE30" i="12" s="1"/>
  <c r="E14" i="12" s="1"/>
  <c r="AK30" i="12"/>
  <c r="E22" i="12"/>
  <c r="AL61" i="1"/>
  <c r="AL60" i="1"/>
  <c r="L38" i="12" l="1"/>
  <c r="L43" i="12" l="1"/>
  <c r="L44" i="12" s="1"/>
  <c r="E15" i="12"/>
  <c r="L42" i="12"/>
  <c r="L45" i="1" l="1"/>
  <c r="L44" i="1" s="1"/>
  <c r="M45" i="1"/>
  <c r="M44" i="1" s="1"/>
  <c r="M43" i="1"/>
  <c r="N25" i="1"/>
  <c r="M25" i="1"/>
  <c r="L25" i="1"/>
  <c r="L43" i="1"/>
  <c r="N43" i="1" l="1"/>
  <c r="F38" i="1" l="1"/>
  <c r="F32" i="1"/>
  <c r="F34" i="1"/>
  <c r="F35" i="1"/>
  <c r="V31" i="1" l="1"/>
  <c r="Z31" i="1" s="1"/>
  <c r="V13" i="1"/>
  <c r="Z13" i="1" s="1"/>
  <c r="S13" i="1" s="1"/>
  <c r="V32" i="1"/>
  <c r="Z32" i="1" s="1"/>
  <c r="E54" i="1"/>
  <c r="AD32" i="1" l="1"/>
  <c r="AE32" i="1"/>
  <c r="S32" i="1" s="1"/>
  <c r="W32" i="1" s="1"/>
  <c r="AC32" i="1"/>
  <c r="AE31" i="1"/>
  <c r="AD31" i="1"/>
  <c r="AC31" i="1"/>
  <c r="E55" i="1"/>
  <c r="W13" i="1" l="1"/>
  <c r="E21" i="1"/>
  <c r="E65" i="1" l="1"/>
  <c r="E60" i="1" s="1"/>
  <c r="E23" i="1"/>
  <c r="E22" i="1"/>
  <c r="E20" i="1"/>
  <c r="E24" i="1" l="1"/>
  <c r="S31" i="1" l="1"/>
  <c r="W31" i="1" s="1"/>
  <c r="E16" i="1" l="1"/>
  <c r="E57" i="1" s="1"/>
  <c r="E62" i="1" s="1"/>
  <c r="E61" i="1" l="1"/>
  <c r="E63" i="1"/>
  <c r="E17" i="1"/>
</calcChain>
</file>

<file path=xl/sharedStrings.xml><?xml version="1.0" encoding="utf-8"?>
<sst xmlns="http://schemas.openxmlformats.org/spreadsheetml/2006/main" count="1071" uniqueCount="324">
  <si>
    <t>Toppsjikt</t>
  </si>
  <si>
    <t>Hovedsjikt</t>
  </si>
  <si>
    <t>Bunnsjikt</t>
  </si>
  <si>
    <t>Tykkelse</t>
  </si>
  <si>
    <t>Materiale</t>
  </si>
  <si>
    <t>W/m²K</t>
  </si>
  <si>
    <t>m</t>
  </si>
  <si>
    <t>m³</t>
  </si>
  <si>
    <t>m²</t>
  </si>
  <si>
    <t>mm</t>
  </si>
  <si>
    <t>W/mK</t>
  </si>
  <si>
    <t>m²K/W</t>
  </si>
  <si>
    <t>Isolasjon bunnsjikt</t>
  </si>
  <si>
    <t>Bærekonstruksjon</t>
  </si>
  <si>
    <t>Varme-konduktivitet</t>
  </si>
  <si>
    <t>Varme-motstand</t>
  </si>
  <si>
    <t>Isolasjon, toppsjikt</t>
  </si>
  <si>
    <t>Isolasjon, hovedsjikt</t>
  </si>
  <si>
    <t>Sjikt</t>
  </si>
  <si>
    <t>A</t>
  </si>
  <si>
    <t>B</t>
  </si>
  <si>
    <t>C</t>
  </si>
  <si>
    <t>Utstrekning i fallretningen</t>
  </si>
  <si>
    <t>Utstrekning på tvers av fallretningen</t>
  </si>
  <si>
    <t>Beregnet U-verdi felttype 2</t>
  </si>
  <si>
    <t>Beregnet U-verdi felttype 3</t>
  </si>
  <si>
    <t>Beregnet U-verdi felttype 4</t>
  </si>
  <si>
    <t xml:space="preserve">Beregnet U-verdi </t>
  </si>
  <si>
    <t>Beregnet fall</t>
  </si>
  <si>
    <t>Beregnet samlet areal</t>
  </si>
  <si>
    <t>Beregnet volum av skrå isolasjon</t>
  </si>
  <si>
    <t>Resultater for hele taket</t>
  </si>
  <si>
    <t>U-verdi x areal</t>
  </si>
  <si>
    <t>W/K</t>
  </si>
  <si>
    <t>Innvendig varmeovergangsmotstand</t>
  </si>
  <si>
    <t>Utvendig varmeovergangsmotstand</t>
  </si>
  <si>
    <t>Skriv inn opplysninger om taket i de grønne feltene</t>
  </si>
  <si>
    <t>Prosjekt:</t>
  </si>
  <si>
    <t>Beregnet av:</t>
  </si>
  <si>
    <t>Dato:</t>
  </si>
  <si>
    <t>Beregnet U-verdi for kompakt tak med fallisolasjon i henhold til NS-EN ISO 6946</t>
  </si>
  <si>
    <t>Sjikt av fallisolasjon</t>
  </si>
  <si>
    <t>Taktekning</t>
  </si>
  <si>
    <t>U-verdi, før avrunding</t>
  </si>
  <si>
    <t>Fallisolasjon, tykkelse i hjørne 1</t>
  </si>
  <si>
    <t>Fallisolasjon, tykkelse i hjørne 2</t>
  </si>
  <si>
    <t>Fallisolasjon, tykkelse i hjørne 3</t>
  </si>
  <si>
    <t>Betong</t>
  </si>
  <si>
    <t>Mineralull</t>
  </si>
  <si>
    <t>EPS</t>
  </si>
  <si>
    <t>Asfalt takbelegg</t>
  </si>
  <si>
    <t>Fallisolasjon</t>
  </si>
  <si>
    <r>
      <t>Beregnet tykkelse d</t>
    </r>
    <r>
      <rPr>
        <vertAlign val="subscript"/>
        <sz val="10"/>
        <color theme="1"/>
        <rFont val="Calibri"/>
        <family val="2"/>
        <scheme val="minor"/>
      </rPr>
      <t>1</t>
    </r>
  </si>
  <si>
    <r>
      <t>Beregnet tykkelse d</t>
    </r>
    <r>
      <rPr>
        <vertAlign val="subscript"/>
        <sz val="10"/>
        <color theme="1"/>
        <rFont val="Calibri"/>
        <family val="2"/>
        <scheme val="minor"/>
      </rPr>
      <t>2</t>
    </r>
  </si>
  <si>
    <r>
      <t>Beregnet varme-motstand R</t>
    </r>
    <r>
      <rPr>
        <vertAlign val="subscript"/>
        <sz val="10"/>
        <color theme="1"/>
        <rFont val="Calibri"/>
        <family val="2"/>
        <scheme val="minor"/>
      </rPr>
      <t>0</t>
    </r>
    <r>
      <rPr>
        <sz val="10"/>
        <color theme="1"/>
        <rFont val="Calibri"/>
        <family val="2"/>
        <scheme val="minor"/>
      </rPr>
      <t xml:space="preserve"> </t>
    </r>
  </si>
  <si>
    <r>
      <t>Beregnet varme-motstand R</t>
    </r>
    <r>
      <rPr>
        <vertAlign val="sub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</t>
    </r>
  </si>
  <si>
    <t xml:space="preserve">Beregnet varme-motstand R2 </t>
  </si>
  <si>
    <t>Mellomberegninger som kan holdes sjult</t>
  </si>
  <si>
    <t>Samlet volum av alle isolasjonssjikt</t>
  </si>
  <si>
    <t>Antall like trekantfelter</t>
  </si>
  <si>
    <t>Antall like, rektanguælre felter</t>
  </si>
  <si>
    <t>Oppgitt samlet takareal</t>
  </si>
  <si>
    <t>Eventuelt takareal uten takfallisolasjon</t>
  </si>
  <si>
    <t>U-verdi for taket eks. fallisolasjon</t>
  </si>
  <si>
    <t>Minste tykkelse</t>
  </si>
  <si>
    <t>Største tykkelse</t>
  </si>
  <si>
    <t>1:40</t>
  </si>
  <si>
    <t>1:60</t>
  </si>
  <si>
    <t>1:100</t>
  </si>
  <si>
    <t xml:space="preserve">Kontroll av at takarealene stemmer </t>
  </si>
  <si>
    <t>Sivert Uvsløkk</t>
  </si>
  <si>
    <t xml:space="preserve">Forutsatte fallforhold for kileisolasjon: </t>
  </si>
  <si>
    <t>Inngangsverdier for fallisolasjonen skrives inn i de grønne feltene</t>
  </si>
  <si>
    <t>2 like store rektangulære flater, 20 m x 5,5 m, med ensidig fall 1:40, som utgjør hoveddelen av taket</t>
  </si>
  <si>
    <t>2 like store rektangulære flater, 20 m x 6,5 m med ensidig fall 1:40, som utgjør hoveddelen av taket</t>
  </si>
  <si>
    <t>Denne takflaten deles inn i 2 rektangulære og 12 trekantede delflater</t>
  </si>
  <si>
    <t>Delflater type A</t>
  </si>
  <si>
    <t>Delflater type B</t>
  </si>
  <si>
    <t>Delflater type C</t>
  </si>
  <si>
    <t xml:space="preserve">2 like store rektangulære flater, 0,5 m x 3,7 m, med ensidig fall 1:60, som utgjør de ytterste delene av rennen </t>
  </si>
  <si>
    <t>Fallforhold for hovedfallisolasjon</t>
  </si>
  <si>
    <t xml:space="preserve">Fallforhold </t>
  </si>
  <si>
    <t xml:space="preserve">  1:60 i lengderetningen og  1:15 i tverretningen. Forhold mellom lengde og bredde:  4:1</t>
  </si>
  <si>
    <t>Takeksempel 3</t>
  </si>
  <si>
    <t>Takeksempel 2</t>
  </si>
  <si>
    <t>x1</t>
  </si>
  <si>
    <t>x2</t>
  </si>
  <si>
    <t>y1</t>
  </si>
  <si>
    <t>y2</t>
  </si>
  <si>
    <t>Midlere tykkelse</t>
  </si>
  <si>
    <t>Stignings forhold</t>
  </si>
  <si>
    <t>Isolasjonssjikt, tykkelse, mm</t>
  </si>
  <si>
    <t>Figurdata</t>
  </si>
  <si>
    <t>Beregnet areal</t>
  </si>
  <si>
    <t>Takeksempel 1</t>
  </si>
  <si>
    <t>Denne takflaten deles inn i 6 rektangulære delflater</t>
  </si>
  <si>
    <t xml:space="preserve">Det lønner seg å starte med de felttypene som ligger inn mot sluk. For å legge inn tykkelser for felttyper </t>
  </si>
  <si>
    <t>som ikke ligger inn mot sluk må en vanligvis vite tykkelsene til felttene nær slukene.</t>
  </si>
  <si>
    <t>Øvrige celler er skrivebeskyttet så lenge skrivebeskyttelsen av regnearket er aktivert. Skrivebeskytelsen kan slås av eller på via menyen "Format"</t>
  </si>
  <si>
    <t>Feltmerke, antall like felter, utstrekningene  på tvers av- og på langs med fallretningen og minste og største tykkelse til fallisolasjonen i feltet.</t>
  </si>
  <si>
    <t>Fallisolasjon, tykkelse ved tynneste kant</t>
  </si>
  <si>
    <t>Fallisolasjon, tykkelse ved tykkeste kant</t>
  </si>
  <si>
    <t>Rekkefølgen på hjørnene er likegyldig, men det lønner seg å skrive inn tykkelsen for det tynneste hjørnet først.</t>
  </si>
  <si>
    <t>En tosiders rapport med beregnet U-verdi, isolasjonsvolumer og aktuelle opplysninger om taket kan skrives ut via menyen "File, Print"</t>
  </si>
  <si>
    <t>Generelt</t>
  </si>
  <si>
    <t>Takfolie</t>
  </si>
  <si>
    <t>XPS</t>
  </si>
  <si>
    <t>Steinull</t>
  </si>
  <si>
    <t>Glassull</t>
  </si>
  <si>
    <t>merket:</t>
  </si>
  <si>
    <t>Tabell 1  Prosjektinformasjon mm</t>
  </si>
  <si>
    <t>Tabell 2  Inngangsverdier for alle jevntykke sjikt</t>
  </si>
  <si>
    <t>Tabell 3  Inngangsverdier for REKTANGULÆRE FELTER med fallisolasjon</t>
  </si>
  <si>
    <t>Tabell 4  Inngangsverdier for TREKANTFELTER med fallisolasjon</t>
  </si>
  <si>
    <t>Oppgis i Tabell 3 og 4.</t>
  </si>
  <si>
    <t>Beregnet volum for de enkelte isolasjonssjikt</t>
  </si>
  <si>
    <t>Midlere tykkelse av fallisolasjon</t>
  </si>
  <si>
    <t>U-verdi for taket med fallisolasjon</t>
  </si>
  <si>
    <t>%</t>
  </si>
  <si>
    <t>Avvik</t>
  </si>
  <si>
    <t>Avvik, isolasjonstykkelse</t>
  </si>
  <si>
    <t>Avvik, isolasjonsvolum</t>
  </si>
  <si>
    <t>Faste inngangsverdier</t>
  </si>
  <si>
    <t>Mellomberegninger</t>
  </si>
  <si>
    <t>Forenklet U-verdi, basert på gjennomsnittstykkelsen av takets fallisolasjon</t>
  </si>
  <si>
    <t>Innskreven tekst blir med på rapportutskriften, men det er bare innskrevne tallverdier som blir brukt i beregningene</t>
  </si>
  <si>
    <t>Tabell 2 Inngangsverdier for alle jevntykke sjikt.</t>
  </si>
  <si>
    <t>Se eksempler på takplaner og inndeling i delfelter i Takeksemplene 1, 2 og 3.</t>
  </si>
  <si>
    <t>Vanligvis vil takflaten bestå av mange like delfelter med samme areal og form.</t>
  </si>
  <si>
    <t xml:space="preserve">besteme tykkelsen på nabofeltene lenger fra slukene. </t>
  </si>
  <si>
    <t xml:space="preserve">Det lønner seg å starte med de delfeltene som ligger inn mot sluk ettersom tykkelsene til disse delfeltene vanligvis er med å </t>
  </si>
  <si>
    <t>Tykkelsen ved den tykkeste kanten er bestemt av tykkelsen ved den tynneste kanten, utstrekningen i fallretningen og fallforholdet til isolasjonen.</t>
  </si>
  <si>
    <t xml:space="preserve">Tykkelsen til fallisolasjonen i alle tre hjørner må skrives inn. Basert på disse tre tykkelsene  velger programmet riktig formel for U-verdiberegningen. </t>
  </si>
  <si>
    <t>For felter med kileisolasjon er det den samlede tykkelsen av underliggende fallisolasjon og kileisolasjon som skal oppgis i Tabell 4.</t>
  </si>
  <si>
    <t xml:space="preserve">blir den største tykkelsen beregnet. </t>
  </si>
  <si>
    <t>samt utstrekning på tvers av fallretningene for kileisolasjon</t>
  </si>
  <si>
    <t xml:space="preserve">i forhold til hele takarealet, at reduksjonen i isolasjontykkelsen normalt kan neglisjeres ved U-verdiberegningen. </t>
  </si>
  <si>
    <t xml:space="preserve">På små arealer kan isolasjonstykkelsen være noe redusert, for eksempel nærmest sluk. Disse arealene er vanligvis så små, </t>
  </si>
  <si>
    <t xml:space="preserve">Gjennomføringer og mekaniske festemidler gir ekstra varmetap i form av punkt-kuldebroer. Beregning av </t>
  </si>
  <si>
    <t>denne type varmetap er foreløpig ikke tatt med i dette beregningsprogramet.</t>
  </si>
  <si>
    <r>
      <rPr>
        <b/>
        <i/>
        <sz val="11"/>
        <color theme="1"/>
        <rFont val="Calibri"/>
        <family val="2"/>
        <scheme val="minor"/>
      </rPr>
      <t>Tabell 1 Prosjektinformasjon.</t>
    </r>
    <r>
      <rPr>
        <sz val="11"/>
        <color theme="1"/>
        <rFont val="Calibri"/>
        <family val="2"/>
        <scheme val="minor"/>
      </rPr>
      <t xml:space="preserve"> Her kan en skrive inn prosjektidentifikasjon og andre opplysninger som en vil ha med på rapportutskriften.</t>
    </r>
  </si>
  <si>
    <r>
      <rPr>
        <b/>
        <i/>
        <sz val="11"/>
        <color theme="1"/>
        <rFont val="Calibri"/>
        <family val="2"/>
        <scheme val="minor"/>
      </rPr>
      <t>Prosjekt</t>
    </r>
    <r>
      <rPr>
        <sz val="11"/>
        <color theme="1"/>
        <rFont val="Calibri"/>
        <family val="2"/>
        <scheme val="minor"/>
      </rPr>
      <t>. Her kan en skrive inn prosjektopplysninger som en vil ha med på rapportutskriften.</t>
    </r>
  </si>
  <si>
    <r>
      <rPr>
        <b/>
        <i/>
        <sz val="11"/>
        <color theme="1"/>
        <rFont val="Calibri"/>
        <family val="2"/>
        <scheme val="minor"/>
      </rPr>
      <t>Sjikt</t>
    </r>
    <r>
      <rPr>
        <sz val="11"/>
        <color theme="1"/>
        <rFont val="Calibri"/>
        <family val="2"/>
        <scheme val="minor"/>
      </rPr>
      <t xml:space="preserve">. Her kan en skrive inn typebetegnelse for alle jevntykke materialsjikt. </t>
    </r>
  </si>
  <si>
    <r>
      <t>Tykkelse, [ mm ],</t>
    </r>
    <r>
      <rPr>
        <sz val="11"/>
        <color theme="1"/>
        <rFont val="Calibri"/>
        <family val="2"/>
        <scheme val="minor"/>
      </rPr>
      <t xml:space="preserve"> må skrives inn her for alle jevntykke materialsjikt som dekker hele taket.</t>
    </r>
  </si>
  <si>
    <r>
      <t xml:space="preserve">Varmemotstand [ m²/WK ]. </t>
    </r>
    <r>
      <rPr>
        <sz val="11"/>
        <color theme="1"/>
        <rFont val="Calibri"/>
        <family val="2"/>
        <scheme val="minor"/>
      </rPr>
      <t xml:space="preserve">Hvis det er et materialsjikt hvor en bare kjenner varmemotstanden kan den skrives inn her. </t>
    </r>
  </si>
  <si>
    <r>
      <rPr>
        <b/>
        <i/>
        <sz val="11"/>
        <color theme="1"/>
        <rFont val="Calibri"/>
        <family val="2"/>
        <scheme val="minor"/>
      </rPr>
      <t>Oppgitt samlet takareal</t>
    </r>
    <r>
      <rPr>
        <sz val="11"/>
        <color theme="1"/>
        <rFont val="Calibri"/>
        <family val="2"/>
        <scheme val="minor"/>
      </rPr>
      <t xml:space="preserve"> brukes for å kontrollere at øvrige beregnede arealer stemmer.</t>
    </r>
  </si>
  <si>
    <r>
      <rPr>
        <b/>
        <i/>
        <sz val="11"/>
        <color theme="1"/>
        <rFont val="Calibri"/>
        <family val="2"/>
        <scheme val="minor"/>
      </rPr>
      <t>Eventuelt takareal uten takfallisolasjon</t>
    </r>
    <r>
      <rPr>
        <sz val="11"/>
        <color theme="1"/>
        <rFont val="Calibri"/>
        <family val="2"/>
        <scheme val="minor"/>
      </rPr>
      <t xml:space="preserve"> må oppgis for at U-verdien til hele takarealet skal bli riktig.</t>
    </r>
  </si>
  <si>
    <r>
      <t xml:space="preserve">For å kunne legge inn riktige opplysninger om fallisolasjonen </t>
    </r>
    <r>
      <rPr>
        <b/>
        <sz val="11"/>
        <color theme="1"/>
        <rFont val="Calibri"/>
        <family val="2"/>
        <scheme val="minor"/>
      </rPr>
      <t>må en ha en målsatt takplan</t>
    </r>
    <r>
      <rPr>
        <sz val="11"/>
        <color theme="1"/>
        <rFont val="Calibri"/>
        <family val="2"/>
        <scheme val="minor"/>
      </rPr>
      <t xml:space="preserve"> hvor plassering av renner og sluk framgår.</t>
    </r>
  </si>
  <si>
    <r>
      <t xml:space="preserve">I </t>
    </r>
    <r>
      <rPr>
        <b/>
        <i/>
        <sz val="11"/>
        <color theme="1"/>
        <rFont val="Calibri"/>
        <family val="2"/>
        <scheme val="minor"/>
      </rPr>
      <t>takplanen</t>
    </r>
    <r>
      <rPr>
        <sz val="11"/>
        <color theme="1"/>
        <rFont val="Calibri"/>
        <family val="2"/>
        <scheme val="minor"/>
      </rPr>
      <t xml:space="preserve"> må takarealet med fallisolasjon deles inn i</t>
    </r>
    <r>
      <rPr>
        <b/>
        <i/>
        <sz val="11"/>
        <color theme="1"/>
        <rFont val="Calibri"/>
        <family val="2"/>
        <scheme val="minor"/>
      </rPr>
      <t xml:space="preserve"> rektangulære og trekantformede delfelter. Hvert delfelt må ha plan overflate.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</si>
  <si>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Tabell 3. For rektangulære felter </t>
    </r>
    <r>
      <rPr>
        <sz val="11"/>
        <color theme="1"/>
        <rFont val="Calibri"/>
        <family val="2"/>
        <scheme val="minor"/>
      </rPr>
      <t xml:space="preserve">må følgende opplysninger skrives inn : </t>
    </r>
  </si>
  <si>
    <r>
      <rPr>
        <b/>
        <i/>
        <sz val="11"/>
        <color theme="1"/>
        <rFont val="Calibri"/>
        <family val="2"/>
        <scheme val="minor"/>
      </rPr>
      <t>Tabell 4. For trekantfelter</t>
    </r>
    <r>
      <rPr>
        <sz val="11"/>
        <color theme="1"/>
        <rFont val="Calibri"/>
        <family val="2"/>
        <scheme val="minor"/>
      </rPr>
      <t xml:space="preserve"> må følgende opplysninger skrives inn : </t>
    </r>
  </si>
  <si>
    <r>
      <t xml:space="preserve">Feltmerke, antall like felter, utstrekningene  på tvers av- </t>
    </r>
    <r>
      <rPr>
        <sz val="11"/>
        <color theme="1"/>
        <rFont val="Calibri"/>
        <family val="2"/>
        <scheme val="minor"/>
      </rPr>
      <t>og</t>
    </r>
    <r>
      <rPr>
        <b/>
        <i/>
        <sz val="11"/>
        <color theme="1"/>
        <rFont val="Calibri"/>
        <family val="2"/>
        <scheme val="minor"/>
      </rPr>
      <t xml:space="preserve"> på langs med fallretningen </t>
    </r>
    <r>
      <rPr>
        <sz val="11"/>
        <color theme="1"/>
        <rFont val="Calibri"/>
        <family val="2"/>
        <scheme val="minor"/>
      </rPr>
      <t>og</t>
    </r>
    <r>
      <rPr>
        <b/>
        <i/>
        <sz val="11"/>
        <color theme="1"/>
        <rFont val="Calibri"/>
        <family val="2"/>
        <scheme val="minor"/>
      </rPr>
      <t xml:space="preserve"> tykkelse til fallisolasjonen i alle tre hjørnene.</t>
    </r>
  </si>
  <si>
    <t>Bærekonstruksjon med kjent varmemotstand (Stålplate kan neglisjeres)</t>
  </si>
  <si>
    <t>Utstrekning i fallretningen, m</t>
  </si>
  <si>
    <t>Isolasjonstykkelse, mm</t>
  </si>
  <si>
    <t>Rektangel- felter</t>
  </si>
  <si>
    <t>Trekant- felter</t>
  </si>
  <si>
    <t>Beregnet U-verdi, avrundet</t>
  </si>
  <si>
    <t>Nedtrekksmenyer</t>
  </si>
  <si>
    <t>4 like store trekantede flater, 10 m x 1,25 m, med ensidig fall 1:40 mot sluk, fortsettelse av delareal type C</t>
  </si>
  <si>
    <t xml:space="preserve">8 like store trekantede flater, 5,0 m x 1,25 m, med kileisolasjon, nærmest parapetene ved langsidene </t>
  </si>
  <si>
    <t xml:space="preserve">2 like store rektangulære flater, 0,5 m x 6,3 m med ensidig fall 1:60, som utgjør de midterste delene av rennen </t>
  </si>
  <si>
    <t>10 like store trekantflater, 9 m x 4,5 m, med ensidig fall 1:40 mot sluk</t>
  </si>
  <si>
    <t>4 like store trekantflater, 4,5 m x 4,5 m, med ensidig fall 1:40 mot sluk</t>
  </si>
  <si>
    <t>2 like store rektangulære flater, 14,25 m x 3 m med ensidig fall 1:40</t>
  </si>
  <si>
    <t>Delflater type D</t>
  </si>
  <si>
    <t>4 like store rektangulære flater, 0,75 m x 3 m med ensidig fall 1:40</t>
  </si>
  <si>
    <t>I rektanglene merket "D" er det egentlig små trekanter nær slukene, men de er her inkludert i rektangel "D".</t>
  </si>
  <si>
    <t>Det er en forenkling som kan gjøres fordi trekantene ved sluket er så små at det har neglisjerbar betydning for beregnet U-verdi.</t>
  </si>
  <si>
    <t>Takplan med inndeling i delflater</t>
  </si>
  <si>
    <t>Snittegningene viser de fire isolasjonssjiktene</t>
  </si>
  <si>
    <t>Snittegningen viser de fire isolasjonssjiktene</t>
  </si>
  <si>
    <t>Denne takflaten deles inn i 4 rektangulære og 14 trekantede delflater</t>
  </si>
  <si>
    <t>Inngangsverdier og beregnet U- er vist nedenfor takplanenverdi</t>
  </si>
  <si>
    <t>1:59,7</t>
  </si>
  <si>
    <t>1:39,9</t>
  </si>
  <si>
    <t/>
  </si>
  <si>
    <t>Ok, oppgitt og beregnet takareal er det samme</t>
  </si>
  <si>
    <t>D</t>
  </si>
  <si>
    <t>1:39,8</t>
  </si>
  <si>
    <t>Mellomtykkelse for ev. kileisolasjon</t>
  </si>
  <si>
    <t>1:40,3</t>
  </si>
  <si>
    <t>Snitt ved sluk</t>
  </si>
  <si>
    <t>Snitt ved midten av taket</t>
  </si>
  <si>
    <t>Begge er snitt ved sluk</t>
  </si>
  <si>
    <t>Sum varmemotstand eks. fallisolasjon</t>
  </si>
  <si>
    <t>Målestokken er ikke den samme  langs y-aksen og x-aksen.</t>
  </si>
  <si>
    <t>Vertikalsnitt for delfelt merket:</t>
  </si>
  <si>
    <t>Taktype</t>
  </si>
  <si>
    <t>Fallforhold</t>
  </si>
  <si>
    <t>Takbredde</t>
  </si>
  <si>
    <t>Taklengde</t>
  </si>
  <si>
    <t>Rennebredde</t>
  </si>
  <si>
    <t>Tosidig fall mot renne</t>
  </si>
  <si>
    <t>Firesidig fall mot sluk</t>
  </si>
  <si>
    <t>Takareal</t>
  </si>
  <si>
    <t>Fallisolasjon, varmekonduktivitet</t>
  </si>
  <si>
    <t>Areal av eventuell renne</t>
  </si>
  <si>
    <t>Program for nøyaktig beregning av U-verdi for kompakte tak med fallisolasjon.</t>
  </si>
  <si>
    <t>Fallisolasjon, minste tykkelse ved renne eller sluk</t>
  </si>
  <si>
    <t>Brukerveiledning for beregning av U-verdi for kompakte tak med fallisolasjon</t>
  </si>
  <si>
    <t xml:space="preserve">Rektangulære tak med tosidig fall mot midtstilt renne </t>
  </si>
  <si>
    <r>
      <t xml:space="preserve">Regnearket </t>
    </r>
    <r>
      <rPr>
        <b/>
        <i/>
        <sz val="11"/>
        <color theme="1"/>
        <rFont val="Calibri"/>
        <family val="2"/>
        <scheme val="minor"/>
      </rPr>
      <t>Forenklet beregning</t>
    </r>
    <r>
      <rPr>
        <sz val="11"/>
        <color theme="1"/>
        <rFont val="Calibri"/>
        <family val="2"/>
        <scheme val="minor"/>
      </rPr>
      <t xml:space="preserve"> kan brukes for enkle tak som:</t>
    </r>
  </si>
  <si>
    <r>
      <t xml:space="preserve">Regnearket </t>
    </r>
    <r>
      <rPr>
        <b/>
        <i/>
        <sz val="11"/>
        <color theme="1"/>
        <rFont val="Calibri"/>
        <family val="2"/>
        <scheme val="minor"/>
      </rPr>
      <t>Nøyaktig beregning</t>
    </r>
    <r>
      <rPr>
        <sz val="11"/>
        <color theme="1"/>
        <rFont val="Calibri"/>
        <family val="2"/>
        <scheme val="minor"/>
      </rPr>
      <t xml:space="preserve"> kan brukes for de fleste tak med fallisolasjon inklusive kileisolasjon.</t>
    </r>
  </si>
  <si>
    <t xml:space="preserve">Kvadratiske tak med firesidig fall mot sluk. </t>
  </si>
  <si>
    <r>
      <t xml:space="preserve">Beregningene utføres automatisk i regnearket </t>
    </r>
    <r>
      <rPr>
        <sz val="11"/>
        <color theme="1"/>
        <rFont val="Calibri"/>
        <family val="2"/>
        <scheme val="minor"/>
      </rPr>
      <t>etter hvert som inngangsverdiene for taket og takisolasjonen skrives inn.</t>
    </r>
  </si>
  <si>
    <r>
      <t xml:space="preserve">Grønne felter med inndata kan </t>
    </r>
    <r>
      <rPr>
        <b/>
        <i/>
        <sz val="11"/>
        <color theme="1"/>
        <rFont val="Calibri"/>
        <family val="2"/>
        <scheme val="minor"/>
      </rPr>
      <t>kopieres</t>
    </r>
    <r>
      <rPr>
        <sz val="11"/>
        <color theme="1"/>
        <rFont val="Calibri"/>
        <family val="2"/>
        <scheme val="minor"/>
      </rPr>
      <t xml:space="preserve"> til andre grønne celler, men må </t>
    </r>
    <r>
      <rPr>
        <b/>
        <i/>
        <sz val="11"/>
        <color theme="1"/>
        <rFont val="Calibri"/>
        <family val="2"/>
        <scheme val="minor"/>
      </rPr>
      <t>ikke flyttes</t>
    </r>
    <r>
      <rPr>
        <sz val="11"/>
        <color theme="1"/>
        <rFont val="Calibri"/>
        <family val="2"/>
        <scheme val="minor"/>
      </rPr>
      <t xml:space="preserve">. </t>
    </r>
  </si>
  <si>
    <t>Forklaring.</t>
  </si>
  <si>
    <r>
      <rPr>
        <b/>
        <i/>
        <sz val="11"/>
        <color theme="1"/>
        <rFont val="Calibri"/>
        <family val="2"/>
        <scheme val="minor"/>
      </rPr>
      <t>Beregnet av</t>
    </r>
    <r>
      <rPr>
        <sz val="11"/>
        <color theme="1"/>
        <rFont val="Calibri"/>
        <family val="2"/>
        <scheme val="minor"/>
      </rPr>
      <t>. Her kan en skrive inn navn eller initialer til den som er ansvarlig for beregningen og dato for beregningen.</t>
    </r>
  </si>
  <si>
    <t>Varmemotstanden til øvrige jevntykke sjikt blir beregnet i cellene G28-G34 basert på oppgitt tykkelse og varmekonduktivitet.</t>
  </si>
  <si>
    <t>Nødvendige utstrekninger og tykkelser for fallisolasjonen skrives inn i Tabell 3 (rektangulære felter) og Tabell 4 (trekantfelter).</t>
  </si>
  <si>
    <t>For oversiktens skyld bør alle like delfelter merkes med samme merke, for eksempel en bokstav.</t>
  </si>
  <si>
    <t>For hver felttype, med samme areal og form, skrives alle nødvendig opplysninger inn på en og samme linje i Tabell 3 (rektangulære felter) og Tabell 4 (trekantfelter).</t>
  </si>
  <si>
    <r>
      <t xml:space="preserve">Brukerveiledningen nedenfor er skrevet til hjelp ved bruk av regnearket </t>
    </r>
    <r>
      <rPr>
        <b/>
        <i/>
        <sz val="11"/>
        <color theme="1"/>
        <rFont val="Calibri"/>
        <family val="2"/>
        <scheme val="minor"/>
      </rPr>
      <t>Nøyaktig beregning</t>
    </r>
    <r>
      <rPr>
        <i/>
        <sz val="11"/>
        <color theme="1"/>
        <rFont val="Calibri"/>
        <family val="2"/>
        <scheme val="minor"/>
      </rPr>
      <t>.</t>
    </r>
  </si>
  <si>
    <t>Minste tykkelse på fallisolasjon oppgis av produsentene og er vanligvis 20 mm. Ved rennekanter er tykkelsen vanligvis større.</t>
  </si>
  <si>
    <t>Når en kjenner feltets utstrekning i fallretningen og den minste tykkelsen og skriver inn disse opplysningene, under riktig fallforhold,</t>
  </si>
  <si>
    <t>blir dstørste tykkelse beregnet.</t>
  </si>
  <si>
    <t>Nedenfor Tabell 3 er det et "hjelpeprogram" hvor tykkelsen ved den tykkeste kanten av fallisolasjonen kan beregnes.</t>
  </si>
  <si>
    <r>
      <t>Nedenfor Tabell 4 er det et "hjelpeprogram" hvor</t>
    </r>
    <r>
      <rPr>
        <b/>
        <i/>
        <sz val="11"/>
        <color theme="1"/>
        <rFont val="Calibri"/>
        <family val="2"/>
        <scheme val="minor"/>
      </rPr>
      <t xml:space="preserve"> tykkelsen</t>
    </r>
    <r>
      <rPr>
        <sz val="11"/>
        <color theme="1"/>
        <rFont val="Calibri"/>
        <family val="2"/>
        <scheme val="minor"/>
      </rPr>
      <t xml:space="preserve"> ved det tykkeste og nest tykkeste hjørnet av fallisolasjonen i trekantfelter kan beregnes.</t>
    </r>
  </si>
  <si>
    <t>Når en kjenner utstrekningen i fallretningen den minste tykkelsen og skriver inn disse opplysningene, under riktig fallforhold,</t>
  </si>
  <si>
    <t>For bruk ved eventuell kileisolasjon blir også den mellomste tykkelsen for felter med kileisolasjon beregnet</t>
  </si>
  <si>
    <t>Tykkelsen ved alle tre hjørner må fortsatt skrives inn i Tabell 4.</t>
  </si>
  <si>
    <t>Sjekk at beregnet fallforhold, til høyre for Tabell 4, stemmer med oppgitt fallforhold for isolasjonen.</t>
  </si>
  <si>
    <t>Sjekk at beregnet fallforhold, til høyre for Tabell 3, stemmer med oppgitt fallforhold for isolasjonen.</t>
  </si>
  <si>
    <r>
      <rPr>
        <b/>
        <i/>
        <sz val="11"/>
        <color theme="1"/>
        <rFont val="Calibri"/>
        <family val="2"/>
        <scheme val="minor"/>
      </rPr>
      <t>Figur 1</t>
    </r>
    <r>
      <rPr>
        <sz val="11"/>
        <color theme="1"/>
        <rFont val="Calibri"/>
        <family val="2"/>
        <scheme val="minor"/>
      </rPr>
      <t xml:space="preserve"> viser vertikalsnitt gjennom isolasjonen i valgt delfelt. Merket for ønsket delfelt skrives inn i celle AP3.</t>
    </r>
  </si>
  <si>
    <r>
      <t xml:space="preserve">Eventuell fallisolasjon eller kileisolasjon i rennen </t>
    </r>
    <r>
      <rPr>
        <i/>
        <sz val="11"/>
        <color theme="1"/>
        <rFont val="Calibri"/>
        <family val="2"/>
        <scheme val="minor"/>
      </rPr>
      <t>neglisjeres</t>
    </r>
    <r>
      <rPr>
        <sz val="11"/>
        <color theme="1"/>
        <rFont val="Calibri"/>
        <family val="2"/>
        <scheme val="minor"/>
      </rPr>
      <t xml:space="preserve"> ved bruk av regnearket </t>
    </r>
    <r>
      <rPr>
        <b/>
        <i/>
        <sz val="11"/>
        <color theme="1"/>
        <rFont val="Calibri"/>
        <family val="2"/>
        <scheme val="minor"/>
      </rPr>
      <t>Forenklet beregning</t>
    </r>
  </si>
  <si>
    <t>Når fallisolasjon eller kileisolasjon i rennen neglisjeres blir beregnet U-verdi litt høyere enn når all isolasjon tas med i beregningen.</t>
  </si>
  <si>
    <r>
      <t xml:space="preserve">Se regnearkene </t>
    </r>
    <r>
      <rPr>
        <b/>
        <sz val="10"/>
        <color theme="1"/>
        <rFont val="Calibri"/>
        <family val="2"/>
        <scheme val="minor"/>
      </rPr>
      <t>Veiledning</t>
    </r>
    <r>
      <rPr>
        <sz val="10"/>
        <color theme="1"/>
        <rFont val="Calibri"/>
        <family val="2"/>
        <scheme val="minor"/>
      </rPr>
      <t xml:space="preserve"> og </t>
    </r>
    <r>
      <rPr>
        <b/>
        <sz val="10"/>
        <color theme="1"/>
        <rFont val="Calibri"/>
        <family val="2"/>
        <scheme val="minor"/>
      </rPr>
      <t xml:space="preserve">Takeksempel 1, 2 og 3 </t>
    </r>
    <r>
      <rPr>
        <sz val="10"/>
        <color theme="1"/>
        <rFont val="Calibri"/>
        <family val="2"/>
        <scheme val="minor"/>
      </rPr>
      <t>for veiledning og hjelp til å legge inn nødvendig informasjon om taket</t>
    </r>
  </si>
  <si>
    <t>"Hjelpeprogram" for å beregne største tykkelse på fallisolasjon for rektangulære flater</t>
  </si>
  <si>
    <t>"Hjelpeprogram" for å beregne tykkelser på fallisolasjon for trekantflater og kileisolasjon</t>
  </si>
  <si>
    <t>Samlet areal for alle delfelter</t>
  </si>
  <si>
    <r>
      <t xml:space="preserve">Eventuell fallisolasjon eller kileisolasjon i rennen neglisjeres ved bruk av regnearket </t>
    </r>
    <r>
      <rPr>
        <b/>
        <i/>
        <sz val="10"/>
        <color theme="1"/>
        <rFont val="Calibri"/>
        <family val="2"/>
        <scheme val="minor"/>
      </rPr>
      <t>Forenklet beregning.</t>
    </r>
  </si>
  <si>
    <t xml:space="preserve">Skriv inn opplysninger om taket i de grønne feltene. </t>
  </si>
  <si>
    <t>Tabell 3  Opplysninger om taket og fallisolasjonen</t>
  </si>
  <si>
    <t>c</t>
  </si>
  <si>
    <t>Y- og X-aksen er ikke i sammemålestokk</t>
  </si>
  <si>
    <t>Beregnet U-verdi basert på gjennomsnittstykkelsen av takets fallisolasjon</t>
  </si>
  <si>
    <t>Noen av feltene har nedtrekksmenyer hvor en må velge ett av de oppgitte alternativene</t>
  </si>
  <si>
    <t>1:80</t>
  </si>
  <si>
    <t>Eventuel annet kontinuerlig materialsjikt med kjent varmemotstand</t>
  </si>
  <si>
    <t>Materialbetegnelsene som er skrevet inn kommer frem i nedtrekksmenyene i Tabell 2  "Nøyaktig beregning" og "Forenklet beregning"</t>
  </si>
  <si>
    <t>Når et materiale velges fra nedtrekksmenyen blir tilhørende varmekonduktivitet automatisk valgt i Tabell 2.</t>
  </si>
  <si>
    <t xml:space="preserve">Dimensjonerende </t>
  </si>
  <si>
    <r>
      <t xml:space="preserve">varmekonduktivitet, </t>
    </r>
    <r>
      <rPr>
        <sz val="11"/>
        <color theme="1"/>
        <rFont val="Symbol"/>
        <family val="1"/>
        <charset val="2"/>
      </rPr>
      <t>l</t>
    </r>
    <r>
      <rPr>
        <vertAlign val="subscript"/>
        <sz val="11"/>
        <color theme="1"/>
        <rFont val="Calibri"/>
        <family val="2"/>
        <scheme val="minor"/>
      </rPr>
      <t>d</t>
    </r>
  </si>
  <si>
    <t>Takbelegg</t>
  </si>
  <si>
    <r>
      <t xml:space="preserve">I materialtabellen nedenfor kan en skrive inn aktuelle materialbetegnelser og tilhørende dimensjonerende varmekonduktivitet, </t>
    </r>
    <r>
      <rPr>
        <sz val="11"/>
        <color theme="1"/>
        <rFont val="Symbol"/>
        <family val="1"/>
        <charset val="2"/>
      </rPr>
      <t>l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, i de grønne cellene</t>
    </r>
  </si>
  <si>
    <t>Mineralull 0,038</t>
  </si>
  <si>
    <t>Mineralull 0,039</t>
  </si>
  <si>
    <t>Mineralull 0,040</t>
  </si>
  <si>
    <t>Mineralull 0,034</t>
  </si>
  <si>
    <t>Mineralull 0,035</t>
  </si>
  <si>
    <t>Mineralull 0,036</t>
  </si>
  <si>
    <t>Mineralull 0,037</t>
  </si>
  <si>
    <t>Mineralull 0,033</t>
  </si>
  <si>
    <t>EPS 0,033</t>
  </si>
  <si>
    <t>EPS 0,031</t>
  </si>
  <si>
    <t>EPS 0,032</t>
  </si>
  <si>
    <t>EPS 0,034</t>
  </si>
  <si>
    <t>EPS 0,035</t>
  </si>
  <si>
    <t>EPS 0,036</t>
  </si>
  <si>
    <t>EPS 0,037</t>
  </si>
  <si>
    <t>EPS 0,038</t>
  </si>
  <si>
    <t>EPS 0,039</t>
  </si>
  <si>
    <t>EPS 0,040</t>
  </si>
  <si>
    <t>Mineralull 0,031</t>
  </si>
  <si>
    <t>Mineralull 0,032</t>
  </si>
  <si>
    <t>Isolasjons-</t>
  </si>
  <si>
    <t>materiale</t>
  </si>
  <si>
    <t>Betong 2,5</t>
  </si>
  <si>
    <t>Massivtre</t>
  </si>
  <si>
    <t>Korrugert stålplate</t>
  </si>
  <si>
    <t>Beregninger basert på gjennomsnittstykkelsen av takets fallisolasjon</t>
  </si>
  <si>
    <t>Avvik fra riktig U-verdi</t>
  </si>
  <si>
    <t>Avvik, omregnet til isolasjonstykkelse</t>
  </si>
  <si>
    <t>Avvik, omregnet til isolasjonsvolum</t>
  </si>
  <si>
    <t>Riktig U-verdi</t>
  </si>
  <si>
    <t>Fallisolasjon, materiale</t>
  </si>
  <si>
    <t>Inngangsverdier skrives inn i celler merket med grønn farge i regnearket. Isolasjonsmateriale og bærekonstruksjon velges fra nedtrekksmenyer.</t>
  </si>
  <si>
    <r>
      <t xml:space="preserve">Materiale. </t>
    </r>
    <r>
      <rPr>
        <sz val="11"/>
        <color theme="1"/>
        <rFont val="Calibri"/>
        <family val="2"/>
        <scheme val="minor"/>
      </rPr>
      <t>Her velges isolasjonsmateriale fra en nedtrekksmeny.</t>
    </r>
  </si>
  <si>
    <r>
      <t xml:space="preserve">Nedtrekksmenyene </t>
    </r>
    <r>
      <rPr>
        <sz val="11"/>
        <color theme="1"/>
        <rFont val="Calibri"/>
        <family val="2"/>
        <scheme val="minor"/>
      </rPr>
      <t>henter data fra egne tabeller i regnearket</t>
    </r>
    <r>
      <rPr>
        <b/>
        <i/>
        <sz val="11"/>
        <color theme="1"/>
        <rFont val="Calibri"/>
        <family val="2"/>
        <scheme val="minor"/>
      </rPr>
      <t xml:space="preserve"> "Materialdata". </t>
    </r>
  </si>
  <si>
    <t>En varmeisolasjonsprodusent kan f.eks. skrive inn egne produktbetegnelser og tilhørende varmekonduktiviteter.</t>
  </si>
  <si>
    <r>
      <t xml:space="preserve">Innholdet i tabellene, som er merket med grønn farge, i </t>
    </r>
    <r>
      <rPr>
        <b/>
        <i/>
        <sz val="11"/>
        <color theme="1"/>
        <rFont val="Calibri"/>
        <family val="2"/>
        <scheme val="minor"/>
      </rPr>
      <t>"Materialdata"</t>
    </r>
    <r>
      <rPr>
        <sz val="11"/>
        <color theme="1"/>
        <rFont val="Calibri"/>
        <family val="2"/>
        <scheme val="minor"/>
      </rPr>
      <t xml:space="preserve"> kan endres av brukeren. </t>
    </r>
  </si>
  <si>
    <t>Her velges bærekonstruksjon fra nedtrekksmenyen</t>
  </si>
  <si>
    <t>hentet fra tabellen i Materialdata"skrives inn her for alle isolasjonlag og andre materialsjikt.</t>
  </si>
  <si>
    <r>
      <t xml:space="preserve">Varmekonduktivitet [ W/mK ] </t>
    </r>
    <r>
      <rPr>
        <sz val="11"/>
        <color theme="1"/>
        <rFont val="Calibri"/>
        <family val="2"/>
        <scheme val="minor"/>
      </rPr>
      <t xml:space="preserve">Når materialet er valgt fra en nedtrekksmeny blir tilhørende varmekonduktivitet automatisk </t>
    </r>
  </si>
  <si>
    <r>
      <t xml:space="preserve">Varmekonduktivitet [ W/mK ] for eventuelle andre materialer </t>
    </r>
    <r>
      <rPr>
        <sz val="11"/>
        <color theme="1"/>
        <rFont val="Calibri"/>
        <family val="2"/>
        <scheme val="minor"/>
      </rPr>
      <t xml:space="preserve">må dimensjonerende varmekonduktivitet, </t>
    </r>
    <r>
      <rPr>
        <sz val="11"/>
        <color theme="1"/>
        <rFont val="Symbol"/>
        <family val="1"/>
        <charset val="2"/>
      </rPr>
      <t>l</t>
    </r>
    <r>
      <rPr>
        <sz val="11"/>
        <color theme="1"/>
        <rFont val="Calibri"/>
        <family val="2"/>
        <scheme val="minor"/>
      </rPr>
      <t xml:space="preserve">-verdi, skrives inn her. </t>
    </r>
  </si>
  <si>
    <r>
      <t xml:space="preserve">Denne </t>
    </r>
    <r>
      <rPr>
        <sz val="11"/>
        <color theme="1"/>
        <rFont val="Calibri"/>
        <family val="2"/>
        <scheme val="minor"/>
      </rPr>
      <t>cellen gjelder for fallisolasjonen og er skrivebeskyttet. Dimensjoner og tykkelser for fallisolasjon skrives inn i Tabell 3 og Tabell 4.</t>
    </r>
  </si>
  <si>
    <t xml:space="preserve">Tykkelsen ved den tykkeste kanten av fallisolasjonen må skrives inn i Tabell #. </t>
  </si>
  <si>
    <t>rev.05.12.2017SUV</t>
  </si>
  <si>
    <t xml:space="preserve">Tabellverdiene er endret av: </t>
  </si>
  <si>
    <t>SUV</t>
  </si>
  <si>
    <t>Sum varme-motstand eks. fallisolasjon</t>
  </si>
  <si>
    <t>Fallisolasjon minimum tykkelse</t>
  </si>
  <si>
    <t>Fallisolasjon maksimum tykkelse</t>
  </si>
  <si>
    <t>Isolasjon hovedsjikt, tykkelse</t>
  </si>
  <si>
    <t>Antall like, rektangulære felter</t>
  </si>
  <si>
    <t>Felter merket</t>
  </si>
  <si>
    <t>Varme-konduk-tivitet</t>
  </si>
  <si>
    <t>Samlet areal av alle delfelter</t>
  </si>
  <si>
    <t>Tabell 2  Inngangsverdier for taket og alle jevntykke sjikt</t>
  </si>
  <si>
    <t>Avvik mellom beregnet og oppgitt takareal</t>
  </si>
  <si>
    <t>som ikke ligger inn mot sluk må en vanligvis vite tykkelsene til feltene nær slukene.</t>
  </si>
  <si>
    <t>Sum for alle isolasjonssjikt</t>
  </si>
  <si>
    <t>Ev. spesiell tykkelse på hovedsjiktet</t>
  </si>
  <si>
    <t>rev.18.09.2018SUV</t>
  </si>
  <si>
    <t xml:space="preserve">Forenklet beregning for rektangulære tak med tosidig fall mot midtstilt renne og kvadratiske tak med firesidig fall mot sluk </t>
  </si>
  <si>
    <t>Beregnede verdier</t>
  </si>
  <si>
    <t>Fall</t>
  </si>
  <si>
    <t xml:space="preserve">U-verdi </t>
  </si>
  <si>
    <t>Areal</t>
  </si>
  <si>
    <t>Eventuell annet kontinuerlig materialsjikt med kjent varmemotstand</t>
  </si>
  <si>
    <r>
      <t xml:space="preserve">Hvis fallisolasjon eller kileisolasjon i rennen skal tas med i beregningen må arkfanen </t>
    </r>
    <r>
      <rPr>
        <b/>
        <sz val="10"/>
        <color theme="1"/>
        <rFont val="Calibri"/>
        <family val="2"/>
        <scheme val="minor"/>
      </rPr>
      <t>Nøyaktig beregning</t>
    </r>
    <r>
      <rPr>
        <sz val="10"/>
        <color theme="1"/>
        <rFont val="Calibri"/>
        <family val="2"/>
        <scheme val="minor"/>
      </rPr>
      <t xml:space="preserve"> brukes.</t>
    </r>
  </si>
  <si>
    <t>Forenklet beregning</t>
  </si>
  <si>
    <r>
      <rPr>
        <b/>
        <sz val="12"/>
        <color theme="1"/>
        <rFont val="Calibri"/>
        <family val="2"/>
        <scheme val="minor"/>
      </rPr>
      <t>U-verdi for kompakt tak med fallisolasjon</t>
    </r>
    <r>
      <rPr>
        <b/>
        <sz val="10"/>
        <color theme="1"/>
        <rFont val="Calibri"/>
        <family val="2"/>
        <scheme val="minor"/>
      </rPr>
      <t xml:space="preserve">  -  </t>
    </r>
    <r>
      <rPr>
        <sz val="10"/>
        <color theme="1"/>
        <rFont val="Calibri"/>
        <family val="2"/>
        <scheme val="minor"/>
      </rPr>
      <t>beregnet i henhold til NS-EN ISO 6946</t>
    </r>
  </si>
  <si>
    <t>Programmet er utviklet av SINTEF for EPS-gruppen</t>
  </si>
  <si>
    <t>min</t>
  </si>
  <si>
    <t>maks</t>
  </si>
  <si>
    <t>Samlet isolasjons-tykkelse, mm</t>
  </si>
  <si>
    <t>rev.19.11.2018SUV</t>
  </si>
  <si>
    <t>versjon 3.4</t>
  </si>
  <si>
    <t>Beregningsprogram for U-verdier på tak</t>
  </si>
  <si>
    <t>EPS-foreningen</t>
  </si>
  <si>
    <t>Utarbeidet av Sivert Uvsløkk , SINTEF</t>
  </si>
  <si>
    <t>nov. 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</si>
</sst>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i/>
      <sz val="10"/>
      <color theme="1"/>
      <name val="Calibri"/>
      <family val="2"/>
      <scheme val="minor"/>
    </font>
    <font>
      <sz val="11"/>
      <color rgb="FF222222"/>
      <name val="Arial"/>
      <family val="2"/>
    </font>
    <font>
      <i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6F7F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D9FC9A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medium">
        <color rgb="FFF5F5F5"/>
      </left>
      <right style="medium">
        <color rgb="FFF5F5F5"/>
      </right>
      <top style="medium">
        <color rgb="FFF5F5F5"/>
      </top>
      <bottom style="medium">
        <color rgb="FFF5F5F5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1" fillId="3" borderId="0" xfId="0" applyFont="1" applyFill="1"/>
    <xf numFmtId="0" fontId="1" fillId="0" borderId="0" xfId="0" applyFont="1" applyAlignment="1">
      <alignment wrapText="1"/>
    </xf>
    <xf numFmtId="0" fontId="1" fillId="3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/>
    </xf>
    <xf numFmtId="165" fontId="1" fillId="3" borderId="0" xfId="0" applyNumberFormat="1" applyFont="1" applyFill="1" applyAlignment="1">
      <alignment horizontal="center"/>
    </xf>
    <xf numFmtId="164" fontId="1" fillId="3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165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20" fontId="1" fillId="0" borderId="0" xfId="0" quotePrefix="1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4" borderId="0" xfId="0" applyFont="1" applyFill="1" applyAlignment="1">
      <alignment horizontal="left"/>
    </xf>
    <xf numFmtId="2" fontId="1" fillId="4" borderId="0" xfId="0" applyNumberFormat="1" applyFont="1" applyFill="1" applyAlignment="1">
      <alignment horizontal="center"/>
    </xf>
    <xf numFmtId="0" fontId="1" fillId="5" borderId="0" xfId="0" applyFont="1" applyFill="1"/>
    <xf numFmtId="165" fontId="1" fillId="4" borderId="0" xfId="0" applyNumberFormat="1" applyFont="1" applyFill="1" applyAlignment="1">
      <alignment horizontal="center"/>
    </xf>
    <xf numFmtId="0" fontId="1" fillId="6" borderId="0" xfId="0" applyFont="1" applyFill="1"/>
    <xf numFmtId="1" fontId="1" fillId="0" borderId="0" xfId="0" applyNumberFormat="1" applyFont="1"/>
    <xf numFmtId="0" fontId="6" fillId="0" borderId="0" xfId="0" applyFont="1"/>
    <xf numFmtId="0" fontId="1" fillId="0" borderId="0" xfId="0" applyFont="1" applyAlignment="1">
      <alignment horizontal="left" wrapText="1"/>
    </xf>
    <xf numFmtId="0" fontId="1" fillId="7" borderId="0" xfId="0" applyFont="1" applyFill="1" applyAlignment="1" applyProtection="1">
      <alignment horizontal="center"/>
      <protection locked="0"/>
    </xf>
    <xf numFmtId="0" fontId="0" fillId="2" borderId="0" xfId="0" applyFill="1"/>
    <xf numFmtId="0" fontId="9" fillId="0" borderId="1" xfId="0" applyFont="1" applyBorder="1" applyAlignment="1">
      <alignment vertical="top"/>
    </xf>
    <xf numFmtId="0" fontId="9" fillId="0" borderId="0" xfId="0" applyFont="1"/>
    <xf numFmtId="0" fontId="1" fillId="8" borderId="0" xfId="0" applyFont="1" applyFill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3" borderId="0" xfId="0" applyFont="1" applyFill="1" applyAlignment="1">
      <alignment horizontal="center" vertical="top" wrapText="1"/>
    </xf>
    <xf numFmtId="0" fontId="1" fillId="3" borderId="0" xfId="0" applyFont="1" applyFill="1" applyAlignment="1">
      <alignment horizontal="center" vertical="top"/>
    </xf>
    <xf numFmtId="0" fontId="1" fillId="3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2" fillId="4" borderId="0" xfId="0" applyFont="1" applyFill="1" applyAlignment="1">
      <alignment horizontal="left"/>
    </xf>
    <xf numFmtId="2" fontId="2" fillId="4" borderId="0" xfId="0" applyNumberFormat="1" applyFont="1" applyFill="1" applyAlignment="1">
      <alignment horizontal="center"/>
    </xf>
    <xf numFmtId="49" fontId="1" fillId="0" borderId="0" xfId="0" applyNumberFormat="1" applyFont="1" applyAlignment="1">
      <alignment horizontal="left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 applyAlignment="1">
      <alignment horizontal="left"/>
    </xf>
    <xf numFmtId="49" fontId="1" fillId="0" borderId="0" xfId="0" applyNumberFormat="1" applyFont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/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8" xfId="0" applyFont="1" applyBorder="1" applyAlignment="1">
      <alignment horizontal="right"/>
    </xf>
    <xf numFmtId="14" fontId="1" fillId="2" borderId="9" xfId="0" applyNumberFormat="1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2" borderId="5" xfId="0" applyFont="1" applyFill="1" applyBorder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/>
      <protection locked="0"/>
    </xf>
    <xf numFmtId="165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2" borderId="6" xfId="0" applyFont="1" applyFill="1" applyBorder="1" applyAlignment="1" applyProtection="1">
      <alignment horizontal="center"/>
      <protection locked="0"/>
    </xf>
    <xf numFmtId="0" fontId="2" fillId="0" borderId="5" xfId="0" applyFont="1" applyBorder="1" applyAlignment="1">
      <alignment horizontal="left"/>
    </xf>
    <xf numFmtId="166" fontId="1" fillId="2" borderId="6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Border="1"/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wrapText="1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8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 applyAlignment="1">
      <alignment horizontal="left"/>
    </xf>
    <xf numFmtId="49" fontId="1" fillId="0" borderId="14" xfId="0" applyNumberFormat="1" applyFont="1" applyBorder="1" applyAlignment="1">
      <alignment horizontal="center"/>
    </xf>
    <xf numFmtId="0" fontId="1" fillId="7" borderId="14" xfId="0" applyFont="1" applyFill="1" applyBorder="1" applyAlignment="1" applyProtection="1">
      <alignment horizontal="center"/>
      <protection locked="0"/>
    </xf>
    <xf numFmtId="0" fontId="1" fillId="0" borderId="13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6" xfId="0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left"/>
    </xf>
    <xf numFmtId="0" fontId="0" fillId="0" borderId="6" xfId="0" applyBorder="1"/>
    <xf numFmtId="0" fontId="0" fillId="0" borderId="7" xfId="0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4" fillId="0" borderId="0" xfId="0" applyFont="1"/>
    <xf numFmtId="0" fontId="0" fillId="0" borderId="0" xfId="0" applyAlignment="1">
      <alignment horizontal="left"/>
    </xf>
    <xf numFmtId="0" fontId="10" fillId="0" borderId="5" xfId="0" applyFont="1" applyBorder="1" applyAlignment="1">
      <alignment horizontal="left"/>
    </xf>
    <xf numFmtId="1" fontId="1" fillId="0" borderId="14" xfId="0" applyNumberFormat="1" applyFont="1" applyBorder="1" applyAlignment="1">
      <alignment horizontal="center"/>
    </xf>
    <xf numFmtId="0" fontId="1" fillId="0" borderId="14" xfId="0" applyFont="1" applyBorder="1"/>
    <xf numFmtId="0" fontId="5" fillId="0" borderId="13" xfId="0" applyFont="1" applyBorder="1"/>
    <xf numFmtId="0" fontId="1" fillId="0" borderId="17" xfId="0" applyFont="1" applyBorder="1"/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left" vertical="top"/>
    </xf>
    <xf numFmtId="166" fontId="1" fillId="2" borderId="0" xfId="0" applyNumberFormat="1" applyFont="1" applyFill="1" applyAlignment="1" applyProtection="1">
      <alignment horizontal="center"/>
      <protection locked="0"/>
    </xf>
    <xf numFmtId="0" fontId="2" fillId="0" borderId="7" xfId="0" applyFont="1" applyBorder="1" applyAlignment="1">
      <alignment horizontal="left"/>
    </xf>
    <xf numFmtId="166" fontId="1" fillId="2" borderId="9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8" fillId="0" borderId="0" xfId="0" applyFont="1"/>
    <xf numFmtId="0" fontId="5" fillId="0" borderId="0" xfId="0" applyFont="1"/>
    <xf numFmtId="0" fontId="2" fillId="0" borderId="3" xfId="0" applyFont="1" applyBorder="1"/>
    <xf numFmtId="0" fontId="2" fillId="0" borderId="3" xfId="0" applyFont="1" applyBorder="1" applyAlignment="1">
      <alignment horizontal="left"/>
    </xf>
    <xf numFmtId="0" fontId="1" fillId="0" borderId="5" xfId="0" applyFont="1" applyBorder="1"/>
    <xf numFmtId="0" fontId="1" fillId="2" borderId="0" xfId="0" applyFont="1" applyFill="1" applyAlignment="1" applyProtection="1">
      <alignment horizontal="center" wrapText="1"/>
      <protection locked="0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Alignment="1" applyProtection="1">
      <alignment horizontal="left"/>
      <protection locked="0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0" fillId="2" borderId="0" xfId="0" applyFill="1" applyProtection="1">
      <protection locked="0"/>
    </xf>
    <xf numFmtId="165" fontId="0" fillId="2" borderId="0" xfId="0" applyNumberForma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4" fontId="1" fillId="2" borderId="9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7" borderId="0" xfId="0" applyFont="1" applyFill="1" applyAlignment="1">
      <alignment horizontal="center"/>
    </xf>
    <xf numFmtId="0" fontId="1" fillId="7" borderId="14" xfId="0" applyFont="1" applyFill="1" applyBorder="1" applyAlignment="1">
      <alignment horizontal="center"/>
    </xf>
    <xf numFmtId="166" fontId="1" fillId="2" borderId="6" xfId="0" applyNumberFormat="1" applyFont="1" applyFill="1" applyBorder="1" applyAlignment="1">
      <alignment horizontal="center"/>
    </xf>
    <xf numFmtId="166" fontId="1" fillId="2" borderId="9" xfId="0" applyNumberFormat="1" applyFont="1" applyFill="1" applyBorder="1" applyAlignment="1">
      <alignment horizontal="center"/>
    </xf>
    <xf numFmtId="0" fontId="1" fillId="0" borderId="9" xfId="0" applyFont="1" applyBorder="1"/>
    <xf numFmtId="2" fontId="0" fillId="2" borderId="0" xfId="0" applyNumberFormat="1" applyFill="1" applyAlignment="1" applyProtection="1">
      <alignment horizontal="center"/>
      <protection locked="0"/>
    </xf>
    <xf numFmtId="165" fontId="1" fillId="0" borderId="8" xfId="0" applyNumberFormat="1" applyFont="1" applyBorder="1" applyAlignment="1">
      <alignment horizontal="center"/>
    </xf>
    <xf numFmtId="14" fontId="0" fillId="2" borderId="0" xfId="0" applyNumberFormat="1" applyFill="1" applyAlignment="1" applyProtection="1">
      <alignment horizontal="center"/>
      <protection locked="0"/>
    </xf>
    <xf numFmtId="0" fontId="12" fillId="0" borderId="0" xfId="0" applyFont="1" applyAlignment="1">
      <alignment horizontal="left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4" fillId="0" borderId="2" xfId="0" applyFont="1" applyBorder="1"/>
    <xf numFmtId="0" fontId="14" fillId="0" borderId="3" xfId="0" applyFont="1" applyBorder="1"/>
    <xf numFmtId="0" fontId="0" fillId="0" borderId="5" xfId="0" applyBorder="1"/>
    <xf numFmtId="0" fontId="0" fillId="0" borderId="2" xfId="0" applyBorder="1"/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 applyProtection="1">
      <alignment horizontal="left" vertical="top"/>
      <protection locked="0"/>
    </xf>
    <xf numFmtId="0" fontId="1" fillId="2" borderId="6" xfId="0" applyFont="1" applyFill="1" applyBorder="1" applyAlignment="1" applyProtection="1">
      <alignment horizontal="left" vertical="top"/>
      <protection locked="0"/>
    </xf>
    <xf numFmtId="0" fontId="1" fillId="2" borderId="8" xfId="0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center" wrapText="1"/>
    </xf>
    <xf numFmtId="0" fontId="1" fillId="2" borderId="0" xfId="0" applyFont="1" applyFill="1" applyAlignment="1">
      <alignment horizontal="left" vertical="top"/>
    </xf>
    <xf numFmtId="0" fontId="1" fillId="2" borderId="6" xfId="0" applyFont="1" applyFill="1" applyBorder="1" applyAlignment="1">
      <alignment horizontal="left" vertical="top"/>
    </xf>
    <xf numFmtId="0" fontId="1" fillId="2" borderId="8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  <color rgb="FFB6F7FC"/>
      <color rgb="FFFFFF99"/>
      <color rgb="FFD9FC9A"/>
      <color rgb="FFCCCC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'Nøyaktig beregning'!$AN$50</c:f>
          <c:strCache>
            <c:ptCount val="1"/>
            <c:pt idx="0">
              <c:v>Vertikalsnitt gjenom delfelt C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13132180283262954"/>
          <c:y val="0.14381865006388481"/>
          <c:w val="0.60628047824264375"/>
          <c:h val="0.72406186370443426"/>
        </c:manualLayout>
      </c:layout>
      <c:areaChart>
        <c:grouping val="standard"/>
        <c:varyColors val="0"/>
        <c:ser>
          <c:idx val="5"/>
          <c:order val="0"/>
          <c:tx>
            <c:strRef>
              <c:f>'Nøyaktig beregning'!$AL$57</c:f>
              <c:strCache>
                <c:ptCount val="1"/>
                <c:pt idx="0">
                  <c:v>Isolasjonssjikt, tykkelse, mm</c:v>
                </c:pt>
              </c:strCache>
            </c:strRef>
          </c:tx>
          <c:spPr>
            <a:noFill/>
            <a:ln>
              <a:noFill/>
            </a:ln>
            <a:effectLst/>
          </c:spPr>
          <c:val>
            <c:numRef>
              <c:f>'Nøyaktig beregning'!$AP$57:$AQ$57</c:f>
              <c:numCache>
                <c:formatCode>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1-D1C9-493B-B4C0-FC3CA2F2C7D9}"/>
            </c:ext>
          </c:extLst>
        </c:ser>
        <c:ser>
          <c:idx val="1"/>
          <c:order val="1"/>
          <c:tx>
            <c:strRef>
              <c:f>'Nøyaktig beregning'!$AL$58</c:f>
              <c:strCache>
                <c:ptCount val="1"/>
                <c:pt idx="0">
                  <c:v>Isolasjon, toppsjikt, 30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cat>
            <c:numRef>
              <c:f>'Nøyaktig beregning'!$AN$58:$AO$58</c:f>
              <c:numCache>
                <c:formatCode>General</c:formatCode>
                <c:ptCount val="2"/>
                <c:pt idx="0">
                  <c:v>0</c:v>
                </c:pt>
                <c:pt idx="1">
                  <c:v>5.5</c:v>
                </c:pt>
              </c:numCache>
            </c:numRef>
          </c:cat>
          <c:val>
            <c:numRef>
              <c:f>'Nøyaktig beregning'!$AP$58:$AQ$58</c:f>
              <c:numCache>
                <c:formatCode>0</c:formatCode>
                <c:ptCount val="2"/>
                <c:pt idx="0">
                  <c:v>211</c:v>
                </c:pt>
                <c:pt idx="1">
                  <c:v>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59-4635-9A23-840989037E77}"/>
            </c:ext>
          </c:extLst>
        </c:ser>
        <c:ser>
          <c:idx val="2"/>
          <c:order val="2"/>
          <c:tx>
            <c:strRef>
              <c:f>'Nøyaktig beregning'!$AL$59</c:f>
              <c:strCache>
                <c:ptCount val="1"/>
                <c:pt idx="0">
                  <c:v>Fallisolasjon, 51 - 189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cat>
            <c:numRef>
              <c:f>'Nøyaktig beregning'!$AN$59:$AO$59</c:f>
              <c:numCache>
                <c:formatCode>General</c:formatCode>
                <c:ptCount val="2"/>
                <c:pt idx="0">
                  <c:v>0</c:v>
                </c:pt>
                <c:pt idx="1">
                  <c:v>5.5</c:v>
                </c:pt>
              </c:numCache>
            </c:numRef>
          </c:cat>
          <c:val>
            <c:numRef>
              <c:f>'Nøyaktig beregning'!$AP$59:$AQ$59</c:f>
              <c:numCache>
                <c:formatCode>0</c:formatCode>
                <c:ptCount val="2"/>
                <c:pt idx="0">
                  <c:v>181</c:v>
                </c:pt>
                <c:pt idx="1">
                  <c:v>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59-4635-9A23-840989037E77}"/>
            </c:ext>
          </c:extLst>
        </c:ser>
        <c:ser>
          <c:idx val="3"/>
          <c:order val="3"/>
          <c:tx>
            <c:strRef>
              <c:f>'Nøyaktig beregning'!$AL$60</c:f>
              <c:strCache>
                <c:ptCount val="1"/>
                <c:pt idx="0">
                  <c:v>Isolasjon, hovedsjikt, 100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cat>
            <c:numRef>
              <c:f>'Nøyaktig beregning'!$AN$60:$AO$60</c:f>
              <c:numCache>
                <c:formatCode>General</c:formatCode>
                <c:ptCount val="2"/>
                <c:pt idx="0">
                  <c:v>0</c:v>
                </c:pt>
                <c:pt idx="1">
                  <c:v>5.5</c:v>
                </c:pt>
              </c:numCache>
            </c:numRef>
          </c:cat>
          <c:val>
            <c:numRef>
              <c:f>'Nøyaktig beregning'!$AP$60:$AQ$60</c:f>
              <c:numCache>
                <c:formatCode>0</c:formatCode>
                <c:ptCount val="2"/>
                <c:pt idx="0">
                  <c:v>130</c:v>
                </c:pt>
                <c:pt idx="1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59-4635-9A23-840989037E77}"/>
            </c:ext>
          </c:extLst>
        </c:ser>
        <c:ser>
          <c:idx val="4"/>
          <c:order val="4"/>
          <c:tx>
            <c:strRef>
              <c:f>'Nøyaktig beregning'!$AL$61</c:f>
              <c:strCache>
                <c:ptCount val="1"/>
                <c:pt idx="0">
                  <c:v>Isolasjon bunnsjikt, 30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numRef>
              <c:f>'Nøyaktig beregning'!$AN$61:$AO$61</c:f>
              <c:numCache>
                <c:formatCode>General</c:formatCode>
                <c:ptCount val="2"/>
                <c:pt idx="0">
                  <c:v>0</c:v>
                </c:pt>
                <c:pt idx="1">
                  <c:v>5.5</c:v>
                </c:pt>
              </c:numCache>
            </c:numRef>
          </c:cat>
          <c:val>
            <c:numRef>
              <c:f>'Nøyaktig beregning'!$AP$61:$AQ$61</c:f>
              <c:numCache>
                <c:formatCode>0</c:formatCode>
                <c:ptCount val="2"/>
                <c:pt idx="0">
                  <c:v>30</c:v>
                </c:pt>
                <c:pt idx="1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59-4635-9A23-840989037E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089880"/>
        <c:axId val="207090664"/>
      </c:areaChart>
      <c:dateAx>
        <c:axId val="20708988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strRef>
              <c:f>'Nøyaktig beregning'!$AN$53</c:f>
              <c:strCache>
                <c:ptCount val="1"/>
                <c:pt idx="0">
                  <c:v>Utstrekning i fallretningen, m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07090664"/>
        <c:crosses val="autoZero"/>
        <c:auto val="0"/>
        <c:lblOffset val="100"/>
        <c:baseTimeUnit val="days"/>
        <c:majorUnit val="1"/>
        <c:minorUnit val="1"/>
      </c:dateAx>
      <c:valAx>
        <c:axId val="207090664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strRef>
              <c:f>'Nøyaktig beregning'!$AP$54</c:f>
              <c:strCache>
                <c:ptCount val="1"/>
                <c:pt idx="0">
                  <c:v>Isolasjonstykkelse, mm</c:v>
                </c:pt>
              </c:strCache>
            </c:strRef>
          </c:tx>
          <c:layout>
            <c:manualLayout>
              <c:xMode val="edge"/>
              <c:yMode val="edge"/>
              <c:x val="2.6574921296093142E-3"/>
              <c:y val="0.271393285073201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070898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87083558260377"/>
          <c:y val="0.13643544829599663"/>
          <c:w val="0.21368075388508062"/>
          <c:h val="0.790001851599945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5" Type="http://schemas.openxmlformats.org/officeDocument/2006/relationships/image" Target="../media/image8.png"/><Relationship Id="rId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76201</xdr:colOff>
      <xdr:row>4</xdr:row>
      <xdr:rowOff>96157</xdr:rowOff>
    </xdr:from>
    <xdr:to>
      <xdr:col>44</xdr:col>
      <xdr:colOff>581025</xdr:colOff>
      <xdr:row>24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9AC2D79-E836-473E-8042-0500F09C29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9525</xdr:rowOff>
    </xdr:from>
    <xdr:to>
      <xdr:col>5</xdr:col>
      <xdr:colOff>514034</xdr:colOff>
      <xdr:row>28</xdr:row>
      <xdr:rowOff>171000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8BB5909-F3DD-471F-B791-FE6199C17E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55445"/>
          <a:ext cx="5215574" cy="36361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0</xdr:rowOff>
    </xdr:from>
    <xdr:to>
      <xdr:col>6</xdr:col>
      <xdr:colOff>1528</xdr:colOff>
      <xdr:row>29</xdr:row>
      <xdr:rowOff>130995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E794B11-B328-47CC-AB73-95559DA6CC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45920"/>
          <a:ext cx="5396488" cy="363619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12701</xdr:colOff>
      <xdr:row>12</xdr:row>
      <xdr:rowOff>28574</xdr:rowOff>
    </xdr:from>
    <xdr:to>
      <xdr:col>6</xdr:col>
      <xdr:colOff>233754</xdr:colOff>
      <xdr:row>34</xdr:row>
      <xdr:rowOff>174764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3482D16-C4D1-4A00-9EF5-C8A5451301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1" y="2223134"/>
          <a:ext cx="5616013" cy="400191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494476</xdr:colOff>
      <xdr:row>52</xdr:row>
      <xdr:rowOff>113071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B3234D2-B52C-4F9A-9E71-EBD7B82B80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6590476" cy="9828571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22</xdr:col>
      <xdr:colOff>513524</xdr:colOff>
      <xdr:row>52</xdr:row>
      <xdr:rowOff>122595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5CAF0FD-2777-4728-BB4E-6A4683688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15200" y="190500"/>
          <a:ext cx="6609524" cy="9838095"/>
        </a:xfrm>
        <a:prstGeom prst="rect">
          <a:avLst/>
        </a:prstGeom>
      </xdr:spPr>
    </xdr:pic>
    <xdr:clientData/>
  </xdr:twoCellAnchor>
  <xdr:twoCellAnchor editAs="oneCell">
    <xdr:from>
      <xdr:col>23</xdr:col>
      <xdr:colOff>0</xdr:colOff>
      <xdr:row>1</xdr:row>
      <xdr:rowOff>0</xdr:rowOff>
    </xdr:from>
    <xdr:to>
      <xdr:col>33</xdr:col>
      <xdr:colOff>513524</xdr:colOff>
      <xdr:row>52</xdr:row>
      <xdr:rowOff>132119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D4C8FFF-CDA4-4E78-8616-EE864064DF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020800" y="190500"/>
          <a:ext cx="6609524" cy="9847619"/>
        </a:xfrm>
        <a:prstGeom prst="rect">
          <a:avLst/>
        </a:prstGeom>
      </xdr:spPr>
    </xdr:pic>
    <xdr:clientData/>
  </xdr:twoCellAnchor>
  <xdr:twoCellAnchor editAs="oneCell">
    <xdr:from>
      <xdr:col>34</xdr:col>
      <xdr:colOff>28575</xdr:colOff>
      <xdr:row>1</xdr:row>
      <xdr:rowOff>19050</xdr:rowOff>
    </xdr:from>
    <xdr:to>
      <xdr:col>44</xdr:col>
      <xdr:colOff>523051</xdr:colOff>
      <xdr:row>52</xdr:row>
      <xdr:rowOff>122598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60B5A1D-9DA7-4B9B-8F6F-C6B754653C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0754975" y="209550"/>
          <a:ext cx="6590476" cy="9819048"/>
        </a:xfrm>
        <a:prstGeom prst="rect">
          <a:avLst/>
        </a:prstGeom>
      </xdr:spPr>
    </xdr:pic>
    <xdr:clientData/>
  </xdr:twoCellAnchor>
  <xdr:twoCellAnchor editAs="oneCell">
    <xdr:from>
      <xdr:col>45</xdr:col>
      <xdr:colOff>0</xdr:colOff>
      <xdr:row>1</xdr:row>
      <xdr:rowOff>0</xdr:rowOff>
    </xdr:from>
    <xdr:to>
      <xdr:col>55</xdr:col>
      <xdr:colOff>494476</xdr:colOff>
      <xdr:row>52</xdr:row>
      <xdr:rowOff>84500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763AA25-B583-49CC-9ECC-C867F3B3B9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7432000" y="190500"/>
          <a:ext cx="6590476" cy="98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9"/>
  <dimension ref="C5:H13"/>
  <sheetViews>
    <sheetView topLeftCell="A5" workbookViewId="0">
      <selection activeCell="F12" sqref="F12"/>
    </sheetView>
  </sheetViews>
  <sheetFormatPr baseColWidth="10" defaultRowHeight="14.4" x14ac:dyDescent="0.3"/>
  <cols>
    <col min="5" max="5" width="15.6640625" customWidth="1"/>
  </cols>
  <sheetData>
    <row r="5" spans="3:8" ht="15" thickBot="1" x14ac:dyDescent="0.35"/>
    <row r="6" spans="3:8" ht="29.4" thickBot="1" x14ac:dyDescent="0.6">
      <c r="C6" s="150" t="s">
        <v>321</v>
      </c>
      <c r="D6" s="151"/>
      <c r="E6" s="151"/>
      <c r="F6" s="152"/>
      <c r="G6" s="152"/>
      <c r="H6" s="153"/>
    </row>
    <row r="8" spans="3:8" ht="15" thickBot="1" x14ac:dyDescent="0.35"/>
    <row r="9" spans="3:8" ht="28.8" x14ac:dyDescent="0.55000000000000004">
      <c r="C9" s="146" t="s">
        <v>320</v>
      </c>
      <c r="D9" s="147"/>
      <c r="E9" s="147"/>
      <c r="F9" s="88"/>
      <c r="G9" s="88"/>
      <c r="H9" s="89"/>
    </row>
    <row r="10" spans="3:8" ht="15" thickBot="1" x14ac:dyDescent="0.35">
      <c r="C10" s="148"/>
      <c r="H10" s="91"/>
    </row>
    <row r="11" spans="3:8" ht="21.6" thickBot="1" x14ac:dyDescent="0.45">
      <c r="C11" s="154" t="s">
        <v>319</v>
      </c>
      <c r="D11" s="155"/>
      <c r="E11" s="155"/>
      <c r="F11" s="156" t="s">
        <v>323</v>
      </c>
      <c r="G11" s="155"/>
      <c r="H11" s="157"/>
    </row>
    <row r="12" spans="3:8" x14ac:dyDescent="0.3">
      <c r="C12" s="149"/>
      <c r="D12" s="88"/>
      <c r="E12" s="88"/>
      <c r="F12" s="88"/>
      <c r="G12" s="88"/>
      <c r="H12" s="89"/>
    </row>
    <row r="13" spans="3:8" ht="16.2" thickBot="1" x14ac:dyDescent="0.35">
      <c r="C13" s="158" t="s">
        <v>322</v>
      </c>
      <c r="D13" s="159"/>
      <c r="E13" s="159"/>
      <c r="F13" s="159"/>
      <c r="G13" s="159"/>
      <c r="H13" s="160"/>
    </row>
  </sheetData>
  <mergeCells count="4">
    <mergeCell ref="C6:H6"/>
    <mergeCell ref="C11:E11"/>
    <mergeCell ref="F11:H11"/>
    <mergeCell ref="C13:H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1"/>
  <dimension ref="B1:AQ89"/>
  <sheetViews>
    <sheetView tabSelected="1" zoomScale="80" zoomScaleNormal="80" workbookViewId="0">
      <selection activeCell="C11" sqref="C11:F11"/>
    </sheetView>
  </sheetViews>
  <sheetFormatPr baseColWidth="10" defaultColWidth="11.6640625" defaultRowHeight="13.8" x14ac:dyDescent="0.3"/>
  <cols>
    <col min="1" max="1" width="1.6640625" style="3" customWidth="1"/>
    <col min="2" max="3" width="17" style="2" customWidth="1"/>
    <col min="4" max="4" width="17.88671875" style="3" customWidth="1"/>
    <col min="5" max="6" width="8" style="3" customWidth="1"/>
    <col min="7" max="7" width="1.6640625" style="3" customWidth="1"/>
    <col min="8" max="8" width="5.6640625" style="3" customWidth="1"/>
    <col min="9" max="9" width="10.6640625" style="1" customWidth="1"/>
    <col min="10" max="11" width="10.6640625" style="3" customWidth="1"/>
    <col min="12" max="14" width="11.33203125" style="3" customWidth="1"/>
    <col min="15" max="15" width="1.6640625" style="3" customWidth="1"/>
    <col min="16" max="17" width="6.109375" style="3" customWidth="1"/>
    <col min="18" max="20" width="6.33203125" style="3" customWidth="1"/>
    <col min="21" max="34" width="11.6640625" style="3" hidden="1" customWidth="1"/>
    <col min="35" max="37" width="17.33203125" style="3" hidden="1" customWidth="1"/>
    <col min="38" max="38" width="2.109375" style="3" customWidth="1"/>
    <col min="39" max="43" width="11.6640625" style="3"/>
    <col min="44" max="44" width="11.6640625" style="3" customWidth="1"/>
    <col min="45" max="16384" width="11.6640625" style="3"/>
  </cols>
  <sheetData>
    <row r="1" spans="2:42" x14ac:dyDescent="0.3">
      <c r="B1" s="2" t="s">
        <v>198</v>
      </c>
      <c r="H1" s="3" t="s">
        <v>227</v>
      </c>
    </row>
    <row r="2" spans="2:42" x14ac:dyDescent="0.3">
      <c r="B2" s="3" t="s">
        <v>314</v>
      </c>
      <c r="E2" s="4" t="s">
        <v>318</v>
      </c>
    </row>
    <row r="3" spans="2:42" x14ac:dyDescent="0.3">
      <c r="H3" s="12" t="s">
        <v>72</v>
      </c>
      <c r="I3" s="3"/>
      <c r="AM3" s="5" t="s">
        <v>187</v>
      </c>
      <c r="AP3" s="61" t="s">
        <v>234</v>
      </c>
    </row>
    <row r="4" spans="2:42" x14ac:dyDescent="0.3">
      <c r="B4" s="12" t="s">
        <v>36</v>
      </c>
      <c r="H4" s="3" t="s">
        <v>96</v>
      </c>
      <c r="I4" s="3"/>
      <c r="J4" s="12"/>
    </row>
    <row r="5" spans="2:42" x14ac:dyDescent="0.3">
      <c r="B5" s="3" t="s">
        <v>237</v>
      </c>
      <c r="F5" s="4"/>
      <c r="H5" s="3" t="s">
        <v>301</v>
      </c>
      <c r="I5" s="2"/>
      <c r="L5" s="5"/>
      <c r="P5" s="1" t="str">
        <f>IF($L9&gt;0,$D$32+$L9+IF($N9&gt;0,$N9,$D$34)+$D$35,"")</f>
        <v/>
      </c>
    </row>
    <row r="6" spans="2:42" x14ac:dyDescent="0.3">
      <c r="B6" s="3"/>
      <c r="F6" s="4"/>
      <c r="I6" s="2"/>
      <c r="L6" s="5"/>
    </row>
    <row r="7" spans="2:42" ht="15.6" x14ac:dyDescent="0.3">
      <c r="B7" s="12" t="s">
        <v>313</v>
      </c>
      <c r="F7" s="4"/>
    </row>
    <row r="8" spans="2:42" x14ac:dyDescent="0.3">
      <c r="B8" s="12"/>
      <c r="F8" s="4"/>
    </row>
    <row r="9" spans="2:42" ht="14.4" thickBot="1" x14ac:dyDescent="0.35">
      <c r="B9" s="12"/>
      <c r="F9" s="4"/>
      <c r="P9" s="1"/>
    </row>
    <row r="10" spans="2:42" ht="15.6" customHeight="1" x14ac:dyDescent="0.3">
      <c r="B10" s="67" t="s">
        <v>110</v>
      </c>
      <c r="C10" s="44"/>
      <c r="D10" s="44"/>
      <c r="E10" s="44"/>
      <c r="F10" s="102"/>
      <c r="H10" s="67" t="s">
        <v>112</v>
      </c>
      <c r="I10" s="68"/>
      <c r="J10" s="68"/>
      <c r="K10" s="68"/>
      <c r="L10" s="68"/>
      <c r="M10" s="139"/>
      <c r="N10" s="140"/>
      <c r="O10" s="1"/>
      <c r="P10" s="161" t="s">
        <v>306</v>
      </c>
      <c r="Q10" s="161"/>
      <c r="R10" s="161"/>
      <c r="S10" s="161"/>
      <c r="T10" s="161"/>
      <c r="U10" s="1"/>
      <c r="W10" s="1"/>
      <c r="X10" s="1"/>
      <c r="Y10" s="1"/>
      <c r="Z10" s="1"/>
      <c r="AA10" s="1"/>
      <c r="AB10" s="1"/>
      <c r="AC10" s="1"/>
      <c r="AD10" s="1"/>
      <c r="AE10" s="1"/>
    </row>
    <row r="11" spans="2:42" ht="41.4" customHeight="1" x14ac:dyDescent="0.3">
      <c r="B11" s="103" t="s">
        <v>37</v>
      </c>
      <c r="C11" s="162" t="s">
        <v>84</v>
      </c>
      <c r="D11" s="162"/>
      <c r="E11" s="162"/>
      <c r="F11" s="163"/>
      <c r="H11" s="70" t="s">
        <v>296</v>
      </c>
      <c r="I11" s="35" t="s">
        <v>295</v>
      </c>
      <c r="J11" s="35" t="s">
        <v>23</v>
      </c>
      <c r="K11" s="35" t="s">
        <v>22</v>
      </c>
      <c r="L11" s="35" t="s">
        <v>100</v>
      </c>
      <c r="M11" s="35" t="s">
        <v>101</v>
      </c>
      <c r="N11" s="48" t="s">
        <v>303</v>
      </c>
      <c r="P11" s="166" t="s">
        <v>317</v>
      </c>
      <c r="Q11" s="166"/>
      <c r="R11" s="35" t="s">
        <v>307</v>
      </c>
      <c r="S11" s="35" t="s">
        <v>308</v>
      </c>
      <c r="T11" s="35" t="s">
        <v>309</v>
      </c>
      <c r="U11" s="35" t="s">
        <v>30</v>
      </c>
      <c r="V11" s="40" t="s">
        <v>291</v>
      </c>
      <c r="W11" s="37" t="s">
        <v>32</v>
      </c>
      <c r="X11" s="37"/>
      <c r="Y11" s="37" t="s">
        <v>53</v>
      </c>
      <c r="Z11" s="37" t="s">
        <v>54</v>
      </c>
      <c r="AA11" s="38"/>
      <c r="AB11" s="37" t="s">
        <v>56</v>
      </c>
      <c r="AC11" s="38"/>
      <c r="AD11" s="38"/>
      <c r="AE11" s="38"/>
      <c r="AF11" s="40"/>
      <c r="AG11" s="35" t="s">
        <v>22</v>
      </c>
      <c r="AH11" s="35" t="s">
        <v>292</v>
      </c>
      <c r="AI11" s="35" t="s">
        <v>293</v>
      </c>
      <c r="AJ11" s="35" t="s">
        <v>294</v>
      </c>
    </row>
    <row r="12" spans="2:42" ht="15" customHeight="1" thickBot="1" x14ac:dyDescent="0.35">
      <c r="B12" s="50" t="s">
        <v>38</v>
      </c>
      <c r="C12" s="164"/>
      <c r="D12" s="164"/>
      <c r="E12" s="52" t="s">
        <v>39</v>
      </c>
      <c r="F12" s="53"/>
      <c r="H12" s="141"/>
      <c r="I12" s="18"/>
      <c r="J12" s="18" t="s">
        <v>6</v>
      </c>
      <c r="K12" s="18" t="s">
        <v>6</v>
      </c>
      <c r="L12" s="18" t="s">
        <v>9</v>
      </c>
      <c r="M12" s="18" t="s">
        <v>9</v>
      </c>
      <c r="N12" s="48" t="s">
        <v>9</v>
      </c>
      <c r="O12" s="18"/>
      <c r="P12" s="144" t="s">
        <v>315</v>
      </c>
      <c r="Q12" s="144" t="s">
        <v>316</v>
      </c>
      <c r="R12" s="18"/>
      <c r="S12" s="1" t="s">
        <v>5</v>
      </c>
      <c r="T12" s="18" t="s">
        <v>8</v>
      </c>
      <c r="U12" s="18" t="s">
        <v>7</v>
      </c>
      <c r="V12" s="1" t="s">
        <v>11</v>
      </c>
      <c r="W12" s="9" t="s">
        <v>33</v>
      </c>
      <c r="X12" s="8"/>
      <c r="Y12" s="8" t="s">
        <v>9</v>
      </c>
      <c r="Z12" s="9" t="s">
        <v>11</v>
      </c>
      <c r="AA12" s="9"/>
      <c r="AB12" s="9" t="s">
        <v>11</v>
      </c>
      <c r="AC12" s="9"/>
      <c r="AD12" s="9"/>
      <c r="AE12" s="9"/>
      <c r="AG12" s="18" t="s">
        <v>6</v>
      </c>
      <c r="AH12" s="1" t="s">
        <v>9</v>
      </c>
      <c r="AI12" s="1" t="s">
        <v>9</v>
      </c>
      <c r="AJ12" s="1" t="s">
        <v>9</v>
      </c>
    </row>
    <row r="13" spans="2:42" ht="12" customHeight="1" x14ac:dyDescent="0.3">
      <c r="H13" s="142" t="s">
        <v>21</v>
      </c>
      <c r="I13" s="61">
        <v>2</v>
      </c>
      <c r="J13" s="61">
        <v>20</v>
      </c>
      <c r="K13" s="61">
        <v>5.5</v>
      </c>
      <c r="L13" s="61">
        <v>51</v>
      </c>
      <c r="M13" s="61">
        <v>189</v>
      </c>
      <c r="N13" s="64"/>
      <c r="P13" s="145">
        <f t="shared" ref="P13:P19" si="0">IF($L13&gt;0,$D$32+$L13+IF(ISNUMBER($N13),$N13,$D$34)+$D$35,"")</f>
        <v>211</v>
      </c>
      <c r="Q13" s="145">
        <f t="shared" ref="Q13:Q19" si="1">IF($M13&gt;0,$D$32+$M13+IF(ISNUMBER($N13),$N13,$D$34)+$D$35,"")</f>
        <v>349</v>
      </c>
      <c r="R13" s="1" t="str">
        <f>IFERROR("1:"&amp;ROUND($K13*1000/(MAX($L13:$M13)-MIN($L13:$M13)),1),"")</f>
        <v>1:39,9</v>
      </c>
      <c r="S13" s="13">
        <f>IFERROR(IF($Y13=0,1/$Z13,1/$AB13*LN(1+$AB13/$Z13)),"")</f>
        <v>0.13369375576981044</v>
      </c>
      <c r="T13" s="1">
        <f>IF($K13*$J13*$I13&gt;0,$K13*$J13*$I13,"")</f>
        <v>220</v>
      </c>
      <c r="U13" s="1">
        <f t="shared" ref="U13:U19" si="2">IFERROR(($L13+$M13)/2000*$T13,"")</f>
        <v>26.4</v>
      </c>
      <c r="V13" s="13">
        <f t="shared" ref="V13:V19" si="3">(IF(MIN($L13:$M13)&gt;0,IFERROR(SUM($F$31:$F$39)+IF($N13&gt;0,-$F$34+$N13/1000/$E$34,0)+SUM($E$50:$E$51),""),""))</f>
        <v>4.4682456140350872</v>
      </c>
      <c r="W13" s="10">
        <f t="shared" ref="W13:W19" si="4">IFERROR($S13*$T13,"")</f>
        <v>29.412626269358295</v>
      </c>
      <c r="X13" s="9"/>
      <c r="Y13" s="9">
        <f>IFERROR(MAX($L13:$M13)-IF(MEDIAN($L13:$M13)&gt;=MIN($L13:$M13),MIN($L13:$M13),0),"")</f>
        <v>138</v>
      </c>
      <c r="Z13" s="10">
        <f t="shared" ref="Z13:Z19" si="5">IFERROR(IF(MIN($L13:$M13)&gt;0,$V$13+MIN($L13:$M13)/1000/$E$33,""),"")</f>
        <v>5.8103508771929819</v>
      </c>
      <c r="AA13" s="9"/>
      <c r="AB13" s="10">
        <f t="shared" ref="AB13:AB19" si="6">IFERROR($Y13/1000/$E$33,"")</f>
        <v>3.6315789473684212</v>
      </c>
      <c r="AC13" s="9"/>
      <c r="AD13" s="9"/>
      <c r="AE13" s="9"/>
      <c r="AF13" s="13" t="str">
        <f>IF($H13="","",$H13)</f>
        <v>C</v>
      </c>
      <c r="AG13" s="1">
        <f>IF($K13&gt;0,$K13,"")</f>
        <v>5.5</v>
      </c>
      <c r="AH13" s="1">
        <f>IF($L13&gt;0,$L13,"")</f>
        <v>51</v>
      </c>
      <c r="AI13" s="1">
        <f>IF($M13&gt;0,$M13,"")</f>
        <v>189</v>
      </c>
      <c r="AJ13" s="1">
        <f>IF($K13&gt;0,(IF(ISNUMBER($N13),$N13,$D$34)),"")</f>
        <v>100</v>
      </c>
    </row>
    <row r="14" spans="2:42" ht="12" customHeight="1" x14ac:dyDescent="0.3">
      <c r="B14" s="12" t="s">
        <v>31</v>
      </c>
      <c r="D14" s="2"/>
      <c r="E14" s="2"/>
      <c r="F14" s="2"/>
      <c r="H14" s="142"/>
      <c r="I14" s="61"/>
      <c r="J14" s="61"/>
      <c r="K14" s="61"/>
      <c r="L14" s="61"/>
      <c r="M14" s="61"/>
      <c r="N14" s="64"/>
      <c r="P14" s="145" t="str">
        <f t="shared" si="0"/>
        <v/>
      </c>
      <c r="Q14" s="145" t="str">
        <f t="shared" si="1"/>
        <v/>
      </c>
      <c r="R14" s="1" t="str">
        <f t="shared" ref="R14:R19" si="7">IFERROR("1:"&amp;ROUND($K14*1000/(MAX($L14:$M14)-MIN($L14:$M14)),1),"")</f>
        <v/>
      </c>
      <c r="S14" s="13" t="str">
        <f t="shared" ref="S14:S19" si="8">IFERROR(IF($Y14=0,1/$Z14,1/$AB14*LN(1+$AB14/$Z14)),"")</f>
        <v/>
      </c>
      <c r="T14" s="1" t="str">
        <f t="shared" ref="T14:T19" si="9">IF($K14*$J14*$I14&gt;0,$K14*$J14*$I14,"")</f>
        <v/>
      </c>
      <c r="U14" s="1" t="str">
        <f t="shared" si="2"/>
        <v/>
      </c>
      <c r="V14" s="13" t="str">
        <f t="shared" si="3"/>
        <v/>
      </c>
      <c r="W14" s="10" t="str">
        <f t="shared" si="4"/>
        <v/>
      </c>
      <c r="X14" s="9"/>
      <c r="Y14" s="9" t="str">
        <f t="shared" ref="Y14:Y19" si="10">IFERROR(MAX($L14:$M14)-IF(MEDIAN($L14:$M14)&gt;=MIN($L14:$M14),MIN($L14:$M14),0),"")</f>
        <v/>
      </c>
      <c r="Z14" s="10" t="str">
        <f t="shared" si="5"/>
        <v/>
      </c>
      <c r="AA14" s="9"/>
      <c r="AB14" s="10" t="str">
        <f t="shared" si="6"/>
        <v/>
      </c>
      <c r="AC14" s="9"/>
      <c r="AD14" s="9"/>
      <c r="AE14" s="9"/>
      <c r="AF14" s="13" t="str">
        <f t="shared" ref="AF14:AF19" si="11">IF($H14="","",$H14)</f>
        <v/>
      </c>
      <c r="AG14" s="1" t="str">
        <f t="shared" ref="AG14:AG19" si="12">IF($K14&gt;0,$K14,"")</f>
        <v/>
      </c>
      <c r="AH14" s="1" t="str">
        <f t="shared" ref="AH14:AH19" si="13">IF($L14&gt;0,$L14,"")</f>
        <v/>
      </c>
      <c r="AI14" s="1" t="str">
        <f t="shared" ref="AI14:AI19" si="14">IF($M14&gt;0,$M14,"")</f>
        <v/>
      </c>
      <c r="AJ14" s="1" t="str">
        <f t="shared" ref="AJ14:AJ19" si="15">IF($K14&gt;0,(IF($N14&gt;0,$N14,$D$34)),"")</f>
        <v/>
      </c>
    </row>
    <row r="15" spans="2:42" ht="12" customHeight="1" x14ac:dyDescent="0.3">
      <c r="H15" s="142"/>
      <c r="I15" s="61"/>
      <c r="J15" s="61"/>
      <c r="K15" s="61"/>
      <c r="L15" s="61"/>
      <c r="M15" s="61"/>
      <c r="N15" s="64"/>
      <c r="P15" s="145" t="str">
        <f t="shared" si="0"/>
        <v/>
      </c>
      <c r="Q15" s="145" t="str">
        <f t="shared" si="1"/>
        <v/>
      </c>
      <c r="R15" s="1" t="str">
        <f t="shared" si="7"/>
        <v/>
      </c>
      <c r="S15" s="13" t="str">
        <f t="shared" si="8"/>
        <v/>
      </c>
      <c r="T15" s="1" t="str">
        <f t="shared" si="9"/>
        <v/>
      </c>
      <c r="U15" s="1" t="str">
        <f t="shared" si="2"/>
        <v/>
      </c>
      <c r="V15" s="13" t="str">
        <f t="shared" si="3"/>
        <v/>
      </c>
      <c r="W15" s="10" t="str">
        <f t="shared" si="4"/>
        <v/>
      </c>
      <c r="X15" s="9"/>
      <c r="Y15" s="9" t="str">
        <f t="shared" si="10"/>
        <v/>
      </c>
      <c r="Z15" s="10" t="str">
        <f t="shared" si="5"/>
        <v/>
      </c>
      <c r="AA15" s="9"/>
      <c r="AB15" s="10" t="str">
        <f t="shared" si="6"/>
        <v/>
      </c>
      <c r="AC15" s="9"/>
      <c r="AD15" s="9"/>
      <c r="AE15" s="9"/>
      <c r="AF15" s="13" t="str">
        <f t="shared" si="11"/>
        <v/>
      </c>
      <c r="AG15" s="1" t="str">
        <f t="shared" si="12"/>
        <v/>
      </c>
      <c r="AH15" s="1" t="str">
        <f t="shared" si="13"/>
        <v/>
      </c>
      <c r="AI15" s="1" t="str">
        <f t="shared" si="14"/>
        <v/>
      </c>
      <c r="AJ15" s="1" t="str">
        <f t="shared" si="15"/>
        <v/>
      </c>
    </row>
    <row r="16" spans="2:42" ht="12" customHeight="1" x14ac:dyDescent="0.3">
      <c r="B16" s="22" t="s">
        <v>157</v>
      </c>
      <c r="C16" s="22"/>
      <c r="D16" s="22"/>
      <c r="E16" s="23">
        <f>IFERROR((SUM($W$31:$W$37)+SUM($W$13:$W$19)+F41/E54)/$E$26,$E$55)</f>
        <v>0.14039852661604008</v>
      </c>
      <c r="F16" s="22" t="s">
        <v>5</v>
      </c>
      <c r="H16" s="142"/>
      <c r="I16" s="61"/>
      <c r="J16" s="61"/>
      <c r="K16" s="61"/>
      <c r="L16" s="61"/>
      <c r="M16" s="61"/>
      <c r="N16" s="64"/>
      <c r="P16" s="145" t="str">
        <f t="shared" si="0"/>
        <v/>
      </c>
      <c r="Q16" s="145" t="str">
        <f t="shared" si="1"/>
        <v/>
      </c>
      <c r="R16" s="1" t="str">
        <f t="shared" si="7"/>
        <v/>
      </c>
      <c r="S16" s="13" t="str">
        <f t="shared" si="8"/>
        <v/>
      </c>
      <c r="T16" s="1" t="str">
        <f t="shared" si="9"/>
        <v/>
      </c>
      <c r="U16" s="1" t="str">
        <f t="shared" si="2"/>
        <v/>
      </c>
      <c r="V16" s="13" t="str">
        <f t="shared" si="3"/>
        <v/>
      </c>
      <c r="W16" s="10" t="str">
        <f t="shared" si="4"/>
        <v/>
      </c>
      <c r="X16" s="9"/>
      <c r="Y16" s="9" t="str">
        <f t="shared" si="10"/>
        <v/>
      </c>
      <c r="Z16" s="10" t="str">
        <f t="shared" si="5"/>
        <v/>
      </c>
      <c r="AA16" s="9"/>
      <c r="AB16" s="10" t="str">
        <f t="shared" si="6"/>
        <v/>
      </c>
      <c r="AC16" s="9"/>
      <c r="AD16" s="9"/>
      <c r="AE16" s="9"/>
      <c r="AF16" s="13" t="str">
        <f t="shared" si="11"/>
        <v/>
      </c>
      <c r="AG16" s="1" t="str">
        <f t="shared" si="12"/>
        <v/>
      </c>
      <c r="AH16" s="1" t="str">
        <f t="shared" si="13"/>
        <v/>
      </c>
      <c r="AI16" s="1" t="str">
        <f t="shared" si="14"/>
        <v/>
      </c>
      <c r="AJ16" s="1" t="str">
        <f t="shared" si="15"/>
        <v/>
      </c>
    </row>
    <row r="17" spans="2:38" ht="12" customHeight="1" x14ac:dyDescent="0.3">
      <c r="B17" s="22" t="s">
        <v>43</v>
      </c>
      <c r="C17" s="22"/>
      <c r="D17" s="22"/>
      <c r="E17" s="25">
        <f>E16</f>
        <v>0.14039852661604008</v>
      </c>
      <c r="F17" s="22" t="s">
        <v>5</v>
      </c>
      <c r="H17" s="142"/>
      <c r="I17" s="61"/>
      <c r="J17" s="61"/>
      <c r="K17" s="61"/>
      <c r="L17" s="61"/>
      <c r="M17" s="61"/>
      <c r="N17" s="64"/>
      <c r="P17" s="145" t="str">
        <f t="shared" si="0"/>
        <v/>
      </c>
      <c r="Q17" s="145" t="str">
        <f t="shared" si="1"/>
        <v/>
      </c>
      <c r="R17" s="1" t="str">
        <f t="shared" si="7"/>
        <v/>
      </c>
      <c r="S17" s="13" t="str">
        <f t="shared" si="8"/>
        <v/>
      </c>
      <c r="T17" s="1" t="str">
        <f t="shared" si="9"/>
        <v/>
      </c>
      <c r="U17" s="1" t="str">
        <f t="shared" si="2"/>
        <v/>
      </c>
      <c r="V17" s="13" t="str">
        <f t="shared" si="3"/>
        <v/>
      </c>
      <c r="W17" s="10" t="str">
        <f t="shared" si="4"/>
        <v/>
      </c>
      <c r="X17" s="9"/>
      <c r="Y17" s="9" t="str">
        <f t="shared" si="10"/>
        <v/>
      </c>
      <c r="Z17" s="10" t="str">
        <f t="shared" si="5"/>
        <v/>
      </c>
      <c r="AA17" s="9"/>
      <c r="AB17" s="10" t="str">
        <f t="shared" si="6"/>
        <v/>
      </c>
      <c r="AC17" s="9"/>
      <c r="AD17" s="9"/>
      <c r="AE17" s="9"/>
      <c r="AF17" s="13" t="str">
        <f t="shared" si="11"/>
        <v/>
      </c>
      <c r="AG17" s="1" t="str">
        <f t="shared" si="12"/>
        <v/>
      </c>
      <c r="AH17" s="1" t="str">
        <f t="shared" si="13"/>
        <v/>
      </c>
      <c r="AI17" s="1" t="str">
        <f t="shared" si="14"/>
        <v/>
      </c>
      <c r="AJ17" s="1" t="str">
        <f t="shared" si="15"/>
        <v/>
      </c>
    </row>
    <row r="18" spans="2:38" ht="12" customHeight="1" x14ac:dyDescent="0.3">
      <c r="B18" s="3"/>
      <c r="C18" s="3"/>
      <c r="F18" s="2"/>
      <c r="H18" s="142"/>
      <c r="I18" s="61"/>
      <c r="J18" s="61"/>
      <c r="K18" s="61"/>
      <c r="L18" s="61"/>
      <c r="M18" s="61"/>
      <c r="N18" s="64"/>
      <c r="P18" s="145" t="str">
        <f t="shared" si="0"/>
        <v/>
      </c>
      <c r="Q18" s="145" t="str">
        <f t="shared" si="1"/>
        <v/>
      </c>
      <c r="R18" s="1" t="str">
        <f t="shared" si="7"/>
        <v/>
      </c>
      <c r="S18" s="13" t="str">
        <f t="shared" si="8"/>
        <v/>
      </c>
      <c r="T18" s="1" t="str">
        <f t="shared" si="9"/>
        <v/>
      </c>
      <c r="U18" s="1" t="str">
        <f t="shared" si="2"/>
        <v/>
      </c>
      <c r="V18" s="13" t="str">
        <f t="shared" si="3"/>
        <v/>
      </c>
      <c r="W18" s="10" t="str">
        <f t="shared" si="4"/>
        <v/>
      </c>
      <c r="X18" s="9"/>
      <c r="Y18" s="9" t="str">
        <f t="shared" si="10"/>
        <v/>
      </c>
      <c r="Z18" s="10" t="str">
        <f t="shared" si="5"/>
        <v/>
      </c>
      <c r="AA18" s="9"/>
      <c r="AB18" s="10" t="str">
        <f t="shared" si="6"/>
        <v/>
      </c>
      <c r="AC18" s="9"/>
      <c r="AD18" s="9"/>
      <c r="AE18" s="9"/>
      <c r="AF18" s="13" t="str">
        <f t="shared" si="11"/>
        <v/>
      </c>
      <c r="AG18" s="1" t="str">
        <f t="shared" si="12"/>
        <v/>
      </c>
      <c r="AH18" s="1" t="str">
        <f t="shared" si="13"/>
        <v/>
      </c>
      <c r="AI18" s="1" t="str">
        <f t="shared" si="14"/>
        <v/>
      </c>
      <c r="AJ18" s="1" t="str">
        <f t="shared" si="15"/>
        <v/>
      </c>
    </row>
    <row r="19" spans="2:38" ht="12" customHeight="1" thickBot="1" x14ac:dyDescent="0.35">
      <c r="B19" s="12" t="s">
        <v>115</v>
      </c>
      <c r="E19" s="1"/>
      <c r="F19" s="2"/>
      <c r="H19" s="143"/>
      <c r="I19" s="73"/>
      <c r="J19" s="73"/>
      <c r="K19" s="73"/>
      <c r="L19" s="73"/>
      <c r="M19" s="73"/>
      <c r="N19" s="74"/>
      <c r="P19" s="145" t="str">
        <f t="shared" si="0"/>
        <v/>
      </c>
      <c r="Q19" s="145" t="str">
        <f t="shared" si="1"/>
        <v/>
      </c>
      <c r="R19" s="1" t="str">
        <f t="shared" si="7"/>
        <v/>
      </c>
      <c r="S19" s="13" t="str">
        <f t="shared" si="8"/>
        <v/>
      </c>
      <c r="T19" s="1" t="str">
        <f t="shared" si="9"/>
        <v/>
      </c>
      <c r="U19" s="1" t="str">
        <f t="shared" si="2"/>
        <v/>
      </c>
      <c r="V19" s="13" t="str">
        <f t="shared" si="3"/>
        <v/>
      </c>
      <c r="W19" s="10" t="str">
        <f t="shared" si="4"/>
        <v/>
      </c>
      <c r="X19" s="9"/>
      <c r="Y19" s="9" t="str">
        <f t="shared" si="10"/>
        <v/>
      </c>
      <c r="Z19" s="10" t="str">
        <f t="shared" si="5"/>
        <v/>
      </c>
      <c r="AA19" s="9"/>
      <c r="AB19" s="10" t="str">
        <f t="shared" si="6"/>
        <v/>
      </c>
      <c r="AC19" s="9"/>
      <c r="AD19" s="9"/>
      <c r="AE19" s="9"/>
      <c r="AF19" s="13" t="str">
        <f t="shared" si="11"/>
        <v/>
      </c>
      <c r="AG19" s="1" t="str">
        <f t="shared" si="12"/>
        <v/>
      </c>
      <c r="AH19" s="1" t="str">
        <f t="shared" si="13"/>
        <v/>
      </c>
      <c r="AI19" s="1" t="str">
        <f t="shared" si="14"/>
        <v/>
      </c>
      <c r="AJ19" s="1" t="str">
        <f t="shared" si="15"/>
        <v/>
      </c>
    </row>
    <row r="20" spans="2:38" ht="12" customHeight="1" thickBot="1" x14ac:dyDescent="0.35">
      <c r="B20" s="2" t="s">
        <v>0</v>
      </c>
      <c r="E20" s="15">
        <f>$E$26*$D$32/1000</f>
        <v>8.1</v>
      </c>
      <c r="F20" s="2" t="s">
        <v>7</v>
      </c>
      <c r="H20" s="7"/>
      <c r="I20" s="7"/>
      <c r="S20" s="1"/>
      <c r="AG20" s="1" t="str">
        <f>IF($M20&gt;0,$M20,"")</f>
        <v/>
      </c>
      <c r="AH20" s="1"/>
      <c r="AJ20" s="1"/>
    </row>
    <row r="21" spans="2:38" ht="15" customHeight="1" thickTop="1" x14ac:dyDescent="0.3">
      <c r="B21" s="2" t="s">
        <v>41</v>
      </c>
      <c r="E21" s="15">
        <f>SUM($U$31:$U$37)+SUM($U$13:$U$19)</f>
        <v>29.216666666666665</v>
      </c>
      <c r="F21" s="2" t="s">
        <v>7</v>
      </c>
      <c r="H21" s="75" t="s">
        <v>228</v>
      </c>
      <c r="I21" s="76"/>
      <c r="J21" s="76"/>
      <c r="K21" s="76"/>
      <c r="L21" s="76"/>
      <c r="M21" s="76"/>
      <c r="N21" s="77"/>
      <c r="AH21" s="1"/>
      <c r="AI21" s="1"/>
      <c r="AJ21" s="1"/>
    </row>
    <row r="22" spans="2:38" ht="12" customHeight="1" x14ac:dyDescent="0.3">
      <c r="B22" s="2" t="s">
        <v>1</v>
      </c>
      <c r="E22" s="15">
        <f>$E$26*$D$34/1000</f>
        <v>27</v>
      </c>
      <c r="F22" s="2" t="s">
        <v>7</v>
      </c>
      <c r="H22" s="78" t="s">
        <v>81</v>
      </c>
      <c r="I22" s="3"/>
      <c r="K22" s="1"/>
      <c r="L22" s="47" t="s">
        <v>66</v>
      </c>
      <c r="M22" s="47" t="s">
        <v>67</v>
      </c>
      <c r="N22" s="79" t="s">
        <v>68</v>
      </c>
      <c r="AH22" s="1"/>
      <c r="AI22" s="1"/>
      <c r="AJ22" s="1"/>
    </row>
    <row r="23" spans="2:38" ht="12" customHeight="1" x14ac:dyDescent="0.3">
      <c r="B23" s="2" t="s">
        <v>2</v>
      </c>
      <c r="E23" s="15">
        <f>$E$26*$D$35/1000</f>
        <v>8.1</v>
      </c>
      <c r="F23" s="2" t="s">
        <v>7</v>
      </c>
      <c r="H23" s="78" t="s">
        <v>22</v>
      </c>
      <c r="I23" s="3"/>
      <c r="K23" s="1" t="s">
        <v>6</v>
      </c>
      <c r="L23" s="30">
        <v>5.5</v>
      </c>
      <c r="M23" s="30"/>
      <c r="N23" s="80"/>
      <c r="AH23" s="1"/>
      <c r="AI23" s="1"/>
      <c r="AJ23" s="1"/>
    </row>
    <row r="24" spans="2:38" ht="12" customHeight="1" x14ac:dyDescent="0.3">
      <c r="B24" s="2" t="s">
        <v>302</v>
      </c>
      <c r="E24" s="15">
        <f>SUM(E20:E23)</f>
        <v>72.416666666666657</v>
      </c>
      <c r="F24" s="2" t="s">
        <v>7</v>
      </c>
      <c r="H24" s="81" t="s">
        <v>64</v>
      </c>
      <c r="I24" s="3"/>
      <c r="K24" s="1" t="s">
        <v>9</v>
      </c>
      <c r="L24" s="30">
        <v>51</v>
      </c>
      <c r="M24" s="30"/>
      <c r="N24" s="80"/>
      <c r="AH24" s="1"/>
      <c r="AI24" s="1"/>
      <c r="AJ24" s="1"/>
    </row>
    <row r="25" spans="2:38" ht="12" customHeight="1" thickBot="1" x14ac:dyDescent="0.35">
      <c r="B25" s="3"/>
      <c r="C25" s="3"/>
      <c r="H25" s="82" t="s">
        <v>65</v>
      </c>
      <c r="I25" s="83"/>
      <c r="J25" s="83"/>
      <c r="K25" s="84" t="s">
        <v>9</v>
      </c>
      <c r="L25" s="85">
        <f>IF((L24+L23*1000/40)&gt;0,L24+L23*1000/40,"")</f>
        <v>188.5</v>
      </c>
      <c r="M25" s="85" t="str">
        <f>IF((M24+M23*1000/60)&gt;0,M24+M23*1000/60,"")</f>
        <v/>
      </c>
      <c r="N25" s="86" t="str">
        <f>IF((N24+N23*1000/100)&gt;0,N24+N23*1000/100,"")</f>
        <v/>
      </c>
      <c r="AH25" s="1"/>
      <c r="AI25" s="1"/>
      <c r="AJ25" s="1"/>
    </row>
    <row r="26" spans="2:38" ht="12" customHeight="1" thickTop="1" x14ac:dyDescent="0.3">
      <c r="B26" s="2" t="s">
        <v>298</v>
      </c>
      <c r="E26" s="15">
        <f>SUM($T$31:$T$37)+SUM($T$13:$T$19)+F41</f>
        <v>270</v>
      </c>
      <c r="F26" s="2" t="s">
        <v>8</v>
      </c>
      <c r="I26" s="3"/>
      <c r="K26" s="1"/>
      <c r="L26" s="21"/>
      <c r="M26" s="21"/>
      <c r="N26" s="21"/>
      <c r="AH26" s="1"/>
      <c r="AI26" s="1"/>
      <c r="AJ26" s="1"/>
    </row>
    <row r="27" spans="2:38" ht="12" customHeight="1" thickBot="1" x14ac:dyDescent="0.35">
      <c r="I27" s="3"/>
      <c r="AH27" s="1"/>
      <c r="AI27" s="1"/>
      <c r="AJ27" s="1"/>
    </row>
    <row r="28" spans="2:38" ht="15" customHeight="1" x14ac:dyDescent="0.3">
      <c r="B28" s="54" t="s">
        <v>299</v>
      </c>
      <c r="C28" s="55"/>
      <c r="D28" s="44"/>
      <c r="E28" s="44"/>
      <c r="F28" s="45"/>
      <c r="H28" s="67" t="s">
        <v>113</v>
      </c>
      <c r="I28" s="68"/>
      <c r="J28" s="44"/>
      <c r="K28" s="44"/>
      <c r="L28" s="44"/>
      <c r="M28" s="44"/>
      <c r="N28" s="45"/>
      <c r="U28" s="1"/>
      <c r="W28" s="6" t="s">
        <v>57</v>
      </c>
      <c r="X28" s="6"/>
      <c r="Y28" s="6"/>
      <c r="Z28" s="6"/>
      <c r="AA28" s="6"/>
      <c r="AB28" s="6"/>
      <c r="AC28" s="6"/>
      <c r="AD28" s="6"/>
      <c r="AE28" s="6"/>
      <c r="AH28" s="1"/>
      <c r="AI28" s="1"/>
      <c r="AJ28" s="1"/>
      <c r="AL28" s="3" t="s">
        <v>235</v>
      </c>
    </row>
    <row r="29" spans="2:38" ht="41.4" customHeight="1" x14ac:dyDescent="0.3">
      <c r="B29" s="56" t="s">
        <v>18</v>
      </c>
      <c r="C29" s="16" t="s">
        <v>4</v>
      </c>
      <c r="D29" s="17" t="s">
        <v>3</v>
      </c>
      <c r="E29" s="17" t="s">
        <v>297</v>
      </c>
      <c r="F29" s="57" t="s">
        <v>15</v>
      </c>
      <c r="G29" s="7"/>
      <c r="H29" s="70" t="s">
        <v>296</v>
      </c>
      <c r="I29" s="35" t="s">
        <v>59</v>
      </c>
      <c r="J29" s="35" t="s">
        <v>23</v>
      </c>
      <c r="K29" s="35" t="s">
        <v>22</v>
      </c>
      <c r="L29" s="35" t="s">
        <v>44</v>
      </c>
      <c r="M29" s="35" t="s">
        <v>45</v>
      </c>
      <c r="N29" s="71" t="s">
        <v>46</v>
      </c>
      <c r="O29" s="17"/>
      <c r="P29" s="166" t="s">
        <v>317</v>
      </c>
      <c r="Q29" s="166"/>
      <c r="R29" s="35" t="s">
        <v>307</v>
      </c>
      <c r="S29" s="35" t="s">
        <v>308</v>
      </c>
      <c r="T29" s="35" t="s">
        <v>309</v>
      </c>
      <c r="U29" s="35" t="s">
        <v>30</v>
      </c>
      <c r="V29" s="40" t="s">
        <v>291</v>
      </c>
      <c r="W29" s="37" t="s">
        <v>32</v>
      </c>
      <c r="X29" s="37" t="s">
        <v>52</v>
      </c>
      <c r="Y29" s="37" t="s">
        <v>53</v>
      </c>
      <c r="Z29" s="37" t="s">
        <v>54</v>
      </c>
      <c r="AA29" s="37" t="s">
        <v>55</v>
      </c>
      <c r="AB29" s="37" t="s">
        <v>56</v>
      </c>
      <c r="AC29" s="37" t="s">
        <v>24</v>
      </c>
      <c r="AD29" s="37" t="s">
        <v>25</v>
      </c>
      <c r="AE29" s="37" t="s">
        <v>26</v>
      </c>
      <c r="AH29" s="1"/>
      <c r="AI29" s="1"/>
      <c r="AJ29" s="17"/>
      <c r="AK29" s="17"/>
    </row>
    <row r="30" spans="2:38" ht="15" customHeight="1" x14ac:dyDescent="0.3">
      <c r="B30" s="46"/>
      <c r="D30" s="1" t="s">
        <v>9</v>
      </c>
      <c r="E30" s="1" t="s">
        <v>10</v>
      </c>
      <c r="F30" s="58" t="s">
        <v>11</v>
      </c>
      <c r="H30" s="141"/>
      <c r="I30" s="18"/>
      <c r="J30" s="18" t="s">
        <v>6</v>
      </c>
      <c r="K30" s="18" t="s">
        <v>6</v>
      </c>
      <c r="L30" s="18" t="s">
        <v>9</v>
      </c>
      <c r="M30" s="18" t="s">
        <v>9</v>
      </c>
      <c r="N30" s="48" t="s">
        <v>9</v>
      </c>
      <c r="O30" s="18"/>
      <c r="P30" s="144" t="s">
        <v>315</v>
      </c>
      <c r="Q30" s="144" t="s">
        <v>316</v>
      </c>
      <c r="R30" s="19"/>
      <c r="S30" s="1" t="s">
        <v>5</v>
      </c>
      <c r="T30" s="18" t="s">
        <v>8</v>
      </c>
      <c r="U30" s="18" t="s">
        <v>7</v>
      </c>
      <c r="V30" s="1" t="s">
        <v>11</v>
      </c>
      <c r="W30" s="9" t="s">
        <v>33</v>
      </c>
      <c r="X30" s="8" t="s">
        <v>9</v>
      </c>
      <c r="Y30" s="8" t="s">
        <v>9</v>
      </c>
      <c r="Z30" s="9" t="s">
        <v>11</v>
      </c>
      <c r="AA30" s="9" t="s">
        <v>11</v>
      </c>
      <c r="AB30" s="9" t="s">
        <v>11</v>
      </c>
      <c r="AC30" s="9" t="s">
        <v>5</v>
      </c>
      <c r="AD30" s="9" t="s">
        <v>5</v>
      </c>
      <c r="AE30" s="9" t="s">
        <v>5</v>
      </c>
      <c r="AI30" s="1"/>
      <c r="AJ30" s="1"/>
      <c r="AK30" s="1"/>
    </row>
    <row r="31" spans="2:38" ht="12" customHeight="1" x14ac:dyDescent="0.3">
      <c r="B31" s="46" t="s">
        <v>42</v>
      </c>
      <c r="C31" s="2" t="s">
        <v>244</v>
      </c>
      <c r="D31" s="1"/>
      <c r="E31" s="1"/>
      <c r="F31" s="62">
        <v>0.03</v>
      </c>
      <c r="H31" s="142" t="s">
        <v>19</v>
      </c>
      <c r="I31" s="61">
        <v>4</v>
      </c>
      <c r="J31" s="61">
        <v>10</v>
      </c>
      <c r="K31" s="61">
        <v>1.25</v>
      </c>
      <c r="L31" s="61">
        <v>20</v>
      </c>
      <c r="M31" s="61">
        <v>51</v>
      </c>
      <c r="N31" s="64">
        <v>51</v>
      </c>
      <c r="O31" s="18"/>
      <c r="P31" s="145">
        <f>IF(MIN($L31:$N31)&gt;0,$D$32+MIN($L31:$N31)+$D$34+$D$35,"")</f>
        <v>180</v>
      </c>
      <c r="Q31" s="145">
        <f>IF(MAX($L31:$N31)&gt;0,$D$32+MAX($L31:$N31)+$D$34+$D$35,"")</f>
        <v>211</v>
      </c>
      <c r="R31" s="1" t="str">
        <f>IFERROR("1:"&amp;ROUND($K31*1000/(MAX($L31:$N31)-MIN($L31:$N31)),1),"")</f>
        <v>1:40,3</v>
      </c>
      <c r="S31" s="13">
        <f t="shared" ref="S31:S37" si="16">IFERROR(IF($Y31=0,1/$Z31,IF(MEDIAN($L31:$N31)=MIN($L31:$N31),$AC31,IF(MEDIAN($L31:$N31)=MAX($L31:$N31),$AD31,$AE31))),"")</f>
        <v>0.18077944517123037</v>
      </c>
      <c r="T31" s="1">
        <f>IF($I31=0,"",IFERROR($K31*$J31/2*$I31,""))</f>
        <v>25</v>
      </c>
      <c r="U31" s="13">
        <f t="shared" ref="U31:U37" si="17">IFERROR((IF(MEDIAN($L31:$N31)=MIN($L31:$N31),$Y31/3,IF(MEDIAN($L31:$N31)=MAX($L31:$N31),$Y31*2/3,($X31+$Y31)/3))+MIN($L31:$N31))*$T31/1000,"")</f>
        <v>1.0166666666666668</v>
      </c>
      <c r="V31" s="13">
        <f t="shared" ref="V31:V37" si="18">IF(MIN($L31:$N31)&gt;0,IFERROR(SUM($F$31:$F$39)+SUM($E$50:$E$51),""),"")</f>
        <v>4.4682456140350872</v>
      </c>
      <c r="W31" s="10">
        <f t="shared" ref="W31:W37" si="19">IFERROR($S31*$T31,"")</f>
        <v>4.5194861292807591</v>
      </c>
      <c r="X31" s="9">
        <f>IFERROR(IF(MEDIAN($L31:$N31)=MIN($L31:$N31),0,IF(MEDIAN($L31:$N31)=MAX($L31:$N31),0,MEDIAN($L31:$N31)))-IF(MEDIAN($L31:$N31)&gt;MIN($L31:$N31),IF(MEDIAN($L31:$N31)&lt;MAX($L31:$N31),MIN($L31:$N31),0)),"")</f>
        <v>0</v>
      </c>
      <c r="Y31" s="9">
        <f>IFERROR(MAX($L31:$N31)-IF(MEDIAN($L31:$N31)&gt;=MIN($L31:$N31),MIN($L31:$N31),0),"")</f>
        <v>31</v>
      </c>
      <c r="Z31" s="10">
        <f t="shared" ref="Z31:Z37" si="20">IFERROR(IF(MIN($L31:$N31)&gt;0,$V31+MIN($L31:$N31)/1000/$E$33,""),"")</f>
        <v>4.9945614035087713</v>
      </c>
      <c r="AA31" s="10">
        <f t="shared" ref="AA31:AA37" si="21">IFERROR($X31/1000/$E$33,"")</f>
        <v>0</v>
      </c>
      <c r="AB31" s="10">
        <f t="shared" ref="AB31:AB37" si="22">IFERROR($Y31/1000/$E$33,"")</f>
        <v>0.81578947368421051</v>
      </c>
      <c r="AC31" s="11">
        <f>IFERROR(2/$AB31*((1+$Z31/$AB31)*LN(1+$AB31/$Z31)-1),"")</f>
        <v>0.19012840476918827</v>
      </c>
      <c r="AD31" s="11">
        <f>IFERROR(2/$AB31*(1-$Z31/$AB31*LN(1+$AB31/$Z31)),"")</f>
        <v>0.18077944517123037</v>
      </c>
      <c r="AE31" s="11" t="str">
        <f>IFERROR(2*($Z31*$AA31*LN(1+$AB31/$Z31)-$Z31*$AB31*LN(1+$AA31/$Z31)+$AA31*$AB31*LN(($Z31+$AB31)/($Z31+$AA31)))/($AA31*$AB31*($AB31-$AA31)),"")</f>
        <v/>
      </c>
      <c r="AF31" s="13" t="str">
        <f t="shared" ref="AF31:AF37" si="23">IF($H31="","",$H31)</f>
        <v>A</v>
      </c>
      <c r="AG31" s="1">
        <f>IF($K31&gt;0,$K31,"")</f>
        <v>1.25</v>
      </c>
      <c r="AH31" s="1">
        <f>IF($K31&gt;0,MIN($L31:$N31),"")</f>
        <v>20</v>
      </c>
      <c r="AI31" s="1">
        <f>IF($K31&gt;0,MAX($L31:$N31),"")</f>
        <v>51</v>
      </c>
      <c r="AJ31" s="1">
        <f>IF($K31&gt;0,$D$34,"")</f>
        <v>100</v>
      </c>
    </row>
    <row r="32" spans="2:38" ht="12" customHeight="1" x14ac:dyDescent="0.3">
      <c r="B32" s="59" t="s">
        <v>16</v>
      </c>
      <c r="C32" s="60" t="s">
        <v>251</v>
      </c>
      <c r="D32" s="61">
        <v>30</v>
      </c>
      <c r="E32" s="13">
        <f>VLOOKUP(C32,Materialdata!$A$11:$B$40,2,FALSE)</f>
        <v>3.5999999999999997E-2</v>
      </c>
      <c r="F32" s="62">
        <f>IFERROR(D32/1000/E32,"")</f>
        <v>0.83333333333333337</v>
      </c>
      <c r="H32" s="142" t="s">
        <v>20</v>
      </c>
      <c r="I32" s="61">
        <v>8</v>
      </c>
      <c r="J32" s="61">
        <v>1.25</v>
      </c>
      <c r="K32" s="61">
        <v>5</v>
      </c>
      <c r="L32" s="61">
        <v>20</v>
      </c>
      <c r="M32" s="61">
        <v>145</v>
      </c>
      <c r="N32" s="64">
        <v>51</v>
      </c>
      <c r="O32" s="18"/>
      <c r="P32" s="145">
        <f t="shared" ref="P32:P37" si="24">IF(MIN($L32:$N32)&gt;0,$D$32+MIN($L32:$N32)+$D$34+$D$35,"")</f>
        <v>180</v>
      </c>
      <c r="Q32" s="145">
        <f t="shared" ref="Q32:Q37" si="25">IF(MAX($L32:$N32)&gt;0,$D$32+MAX($L32:$N32)+$D$34+$D$35,"")</f>
        <v>305</v>
      </c>
      <c r="R32" s="1" t="str">
        <f t="shared" ref="R32:R37" si="26">IFERROR("1:"&amp;ROUND($K32*1000/(MAX($L32:$N32)-MIN($L32:$N32)),1),"")</f>
        <v>1:40</v>
      </c>
      <c r="S32" s="13">
        <f t="shared" si="16"/>
        <v>0.15901959150767053</v>
      </c>
      <c r="T32" s="1">
        <f t="shared" ref="T32:T37" si="27">IF($I32=0,"",IFERROR($K32*$J32/2*$I32,""))</f>
        <v>25</v>
      </c>
      <c r="U32" s="13">
        <f t="shared" si="17"/>
        <v>1.8</v>
      </c>
      <c r="V32" s="13">
        <f t="shared" si="18"/>
        <v>4.4682456140350872</v>
      </c>
      <c r="W32" s="10">
        <f t="shared" si="19"/>
        <v>3.9754897876917634</v>
      </c>
      <c r="X32" s="9">
        <f t="shared" ref="X32:X37" si="28">IFERROR(IF(MEDIAN($L32:$N32)=MIN($L32:$N32),0,IF(MEDIAN($L32:$N32)=MAX($L32:$N32),0,MEDIAN($L32:$N32)))-IF(MEDIAN($L32:$N32)&gt;MIN($L32:$N32),IF(MEDIAN($L32:$N32)&lt;MAX($L32:$N32),MIN($L32:$N32),0)),"")</f>
        <v>31</v>
      </c>
      <c r="Y32" s="9">
        <f t="shared" ref="Y32:Y37" si="29">IFERROR(MAX($L32:$N32)-IF(MEDIAN($L32:$N32)&gt;=MIN($L32:$N32),MIN($L32:$N32),0),"")</f>
        <v>125</v>
      </c>
      <c r="Z32" s="10">
        <f t="shared" si="20"/>
        <v>4.9945614035087713</v>
      </c>
      <c r="AA32" s="10">
        <f t="shared" si="21"/>
        <v>0.81578947368421051</v>
      </c>
      <c r="AB32" s="10">
        <f t="shared" si="22"/>
        <v>3.2894736842105265</v>
      </c>
      <c r="AC32" s="11">
        <f t="shared" ref="AC32:AC37" si="30">IFERROR(2/$AB32*((1+$Z32/$AB32)*LN(1+$AB32/$Z32)-1),"")</f>
        <v>0.16673457719652693</v>
      </c>
      <c r="AD32" s="11">
        <f t="shared" ref="AD32:AD37" si="31">IFERROR(2/$AB32*(1-$Z32/$AB32*LN(1+$AB32/$Z32)),"")</f>
        <v>0.14090161421868472</v>
      </c>
      <c r="AE32" s="11">
        <f t="shared" ref="AE32:AE37" si="32">IFERROR(2*($Z32*$AA32*LN(1+$AB32/$Z32)-$Z32*$AB32*LN(1+$AA32/$Z32)+$AA32*$AB32*LN(($Z32+$AB32)/($Z32+$AA32)))/($AA32*$AB32*($AB32-$AA32)),"")</f>
        <v>0.15901959150767053</v>
      </c>
      <c r="AF32" s="13" t="str">
        <f t="shared" si="23"/>
        <v>B</v>
      </c>
      <c r="AG32" s="1">
        <f t="shared" ref="AG32:AG37" si="33">IF($K32&gt;0,$K32,"")</f>
        <v>5</v>
      </c>
      <c r="AH32" s="1">
        <f t="shared" ref="AH32:AH37" si="34">IF($K32&gt;0,MIN($L32:$N32),"")</f>
        <v>20</v>
      </c>
      <c r="AI32" s="1">
        <f t="shared" ref="AI32:AI37" si="35">IF($K32&gt;0,MAX($L32:$N32),"")</f>
        <v>145</v>
      </c>
      <c r="AJ32" s="1">
        <f t="shared" ref="AJ32:AJ37" si="36">IF($K32&gt;0,$D$34,"")</f>
        <v>100</v>
      </c>
    </row>
    <row r="33" spans="2:36" ht="12" customHeight="1" x14ac:dyDescent="0.3">
      <c r="B33" s="46" t="s">
        <v>51</v>
      </c>
      <c r="C33" s="60" t="s">
        <v>261</v>
      </c>
      <c r="D33" s="4" t="s">
        <v>114</v>
      </c>
      <c r="E33" s="13">
        <f>VLOOKUP(C33,Materialdata!$A$11:$B$40,2,FALSE)</f>
        <v>3.7999999999999999E-2</v>
      </c>
      <c r="F33" s="63"/>
      <c r="H33" s="142"/>
      <c r="I33" s="61"/>
      <c r="J33" s="61"/>
      <c r="K33" s="61"/>
      <c r="L33" s="61"/>
      <c r="M33" s="61"/>
      <c r="N33" s="64"/>
      <c r="O33" s="18"/>
      <c r="P33" s="145" t="str">
        <f t="shared" si="24"/>
        <v/>
      </c>
      <c r="Q33" s="145" t="str">
        <f t="shared" si="25"/>
        <v/>
      </c>
      <c r="R33" s="1" t="str">
        <f t="shared" si="26"/>
        <v/>
      </c>
      <c r="S33" s="13" t="str">
        <f t="shared" si="16"/>
        <v/>
      </c>
      <c r="T33" s="1" t="str">
        <f t="shared" si="27"/>
        <v/>
      </c>
      <c r="U33" s="13" t="str">
        <f t="shared" si="17"/>
        <v/>
      </c>
      <c r="V33" s="13" t="str">
        <f t="shared" si="18"/>
        <v/>
      </c>
      <c r="W33" s="10" t="str">
        <f t="shared" si="19"/>
        <v/>
      </c>
      <c r="X33" s="9" t="str">
        <f t="shared" si="28"/>
        <v/>
      </c>
      <c r="Y33" s="9" t="str">
        <f t="shared" si="29"/>
        <v/>
      </c>
      <c r="Z33" s="10" t="str">
        <f t="shared" si="20"/>
        <v/>
      </c>
      <c r="AA33" s="10" t="str">
        <f t="shared" si="21"/>
        <v/>
      </c>
      <c r="AB33" s="10" t="str">
        <f t="shared" si="22"/>
        <v/>
      </c>
      <c r="AC33" s="11" t="str">
        <f t="shared" si="30"/>
        <v/>
      </c>
      <c r="AD33" s="11" t="str">
        <f t="shared" si="31"/>
        <v/>
      </c>
      <c r="AE33" s="11" t="str">
        <f t="shared" si="32"/>
        <v/>
      </c>
      <c r="AF33" s="13" t="str">
        <f t="shared" si="23"/>
        <v/>
      </c>
      <c r="AG33" s="1" t="str">
        <f t="shared" si="33"/>
        <v/>
      </c>
      <c r="AH33" s="1" t="str">
        <f t="shared" si="34"/>
        <v/>
      </c>
      <c r="AI33" s="1" t="str">
        <f t="shared" si="35"/>
        <v/>
      </c>
      <c r="AJ33" s="1" t="str">
        <f t="shared" si="36"/>
        <v/>
      </c>
    </row>
    <row r="34" spans="2:36" ht="12" customHeight="1" x14ac:dyDescent="0.3">
      <c r="B34" s="59" t="s">
        <v>17</v>
      </c>
      <c r="C34" s="60" t="s">
        <v>246</v>
      </c>
      <c r="D34" s="61">
        <v>100</v>
      </c>
      <c r="E34" s="13">
        <f>VLOOKUP(C34,Materialdata!$A$11:$B$40,2,FALSE)</f>
        <v>3.7999999999999999E-2</v>
      </c>
      <c r="F34" s="62">
        <f t="shared" ref="F34:F35" si="37">IFERROR(D34/1000/E34,"")</f>
        <v>2.6315789473684212</v>
      </c>
      <c r="H34" s="142"/>
      <c r="I34" s="61"/>
      <c r="J34" s="61"/>
      <c r="K34" s="61"/>
      <c r="L34" s="61"/>
      <c r="M34" s="61"/>
      <c r="N34" s="64"/>
      <c r="O34" s="18"/>
      <c r="P34" s="145" t="str">
        <f t="shared" si="24"/>
        <v/>
      </c>
      <c r="Q34" s="145" t="str">
        <f t="shared" si="25"/>
        <v/>
      </c>
      <c r="R34" s="1" t="str">
        <f t="shared" si="26"/>
        <v/>
      </c>
      <c r="S34" s="13" t="str">
        <f t="shared" si="16"/>
        <v/>
      </c>
      <c r="T34" s="1" t="str">
        <f t="shared" si="27"/>
        <v/>
      </c>
      <c r="U34" s="13" t="str">
        <f t="shared" si="17"/>
        <v/>
      </c>
      <c r="V34" s="13" t="str">
        <f t="shared" si="18"/>
        <v/>
      </c>
      <c r="W34" s="10" t="str">
        <f t="shared" si="19"/>
        <v/>
      </c>
      <c r="X34" s="9" t="str">
        <f t="shared" si="28"/>
        <v/>
      </c>
      <c r="Y34" s="9" t="str">
        <f t="shared" si="29"/>
        <v/>
      </c>
      <c r="Z34" s="10" t="str">
        <f t="shared" si="20"/>
        <v/>
      </c>
      <c r="AA34" s="10" t="str">
        <f t="shared" si="21"/>
        <v/>
      </c>
      <c r="AB34" s="10" t="str">
        <f t="shared" si="22"/>
        <v/>
      </c>
      <c r="AC34" s="11" t="str">
        <f t="shared" si="30"/>
        <v/>
      </c>
      <c r="AD34" s="11" t="str">
        <f t="shared" si="31"/>
        <v/>
      </c>
      <c r="AE34" s="11" t="str">
        <f t="shared" si="32"/>
        <v/>
      </c>
      <c r="AF34" s="13" t="str">
        <f t="shared" si="23"/>
        <v/>
      </c>
      <c r="AG34" s="1" t="str">
        <f t="shared" si="33"/>
        <v/>
      </c>
      <c r="AH34" s="1" t="str">
        <f t="shared" si="34"/>
        <v/>
      </c>
      <c r="AI34" s="1" t="str">
        <f t="shared" si="35"/>
        <v/>
      </c>
      <c r="AJ34" s="1" t="str">
        <f t="shared" si="36"/>
        <v/>
      </c>
    </row>
    <row r="35" spans="2:36" ht="12" customHeight="1" x14ac:dyDescent="0.3">
      <c r="B35" s="59" t="s">
        <v>12</v>
      </c>
      <c r="C35" s="60" t="s">
        <v>251</v>
      </c>
      <c r="D35" s="61">
        <v>30</v>
      </c>
      <c r="E35" s="13">
        <f>VLOOKUP(C35,Materialdata!$A$11:$B$40,2,FALSE)</f>
        <v>3.5999999999999997E-2</v>
      </c>
      <c r="F35" s="62">
        <f t="shared" si="37"/>
        <v>0.83333333333333337</v>
      </c>
      <c r="H35" s="142"/>
      <c r="I35" s="61"/>
      <c r="J35" s="61"/>
      <c r="K35" s="61"/>
      <c r="L35" s="61"/>
      <c r="M35" s="61"/>
      <c r="N35" s="64"/>
      <c r="O35" s="18"/>
      <c r="P35" s="145" t="str">
        <f t="shared" si="24"/>
        <v/>
      </c>
      <c r="Q35" s="145" t="str">
        <f t="shared" si="25"/>
        <v/>
      </c>
      <c r="R35" s="1" t="str">
        <f t="shared" si="26"/>
        <v/>
      </c>
      <c r="S35" s="13" t="str">
        <f t="shared" si="16"/>
        <v/>
      </c>
      <c r="T35" s="1" t="str">
        <f t="shared" si="27"/>
        <v/>
      </c>
      <c r="U35" s="13" t="str">
        <f t="shared" si="17"/>
        <v/>
      </c>
      <c r="V35" s="13" t="str">
        <f t="shared" si="18"/>
        <v/>
      </c>
      <c r="W35" s="10" t="str">
        <f t="shared" si="19"/>
        <v/>
      </c>
      <c r="X35" s="9" t="str">
        <f t="shared" si="28"/>
        <v/>
      </c>
      <c r="Y35" s="9" t="str">
        <f t="shared" si="29"/>
        <v/>
      </c>
      <c r="Z35" s="10" t="str">
        <f t="shared" si="20"/>
        <v/>
      </c>
      <c r="AA35" s="10" t="str">
        <f t="shared" si="21"/>
        <v/>
      </c>
      <c r="AB35" s="10" t="str">
        <f t="shared" si="22"/>
        <v/>
      </c>
      <c r="AC35" s="11" t="str">
        <f t="shared" si="30"/>
        <v/>
      </c>
      <c r="AD35" s="11" t="str">
        <f t="shared" si="31"/>
        <v/>
      </c>
      <c r="AE35" s="11" t="str">
        <f t="shared" si="32"/>
        <v/>
      </c>
      <c r="AF35" s="13" t="str">
        <f t="shared" si="23"/>
        <v/>
      </c>
      <c r="AG35" s="1" t="str">
        <f t="shared" si="33"/>
        <v/>
      </c>
      <c r="AH35" s="1" t="str">
        <f t="shared" si="34"/>
        <v/>
      </c>
      <c r="AI35" s="1" t="str">
        <f t="shared" si="35"/>
        <v/>
      </c>
      <c r="AJ35" s="1" t="str">
        <f t="shared" si="36"/>
        <v/>
      </c>
    </row>
    <row r="36" spans="2:36" ht="12" customHeight="1" x14ac:dyDescent="0.3">
      <c r="B36" s="59"/>
      <c r="C36" s="60"/>
      <c r="D36" s="61"/>
      <c r="E36" s="61"/>
      <c r="F36" s="62" t="str">
        <f t="shared" ref="F36" si="38">IFERROR(D36/1000/E36,"")</f>
        <v/>
      </c>
      <c r="H36" s="142"/>
      <c r="I36" s="61"/>
      <c r="J36" s="61"/>
      <c r="K36" s="61"/>
      <c r="L36" s="61"/>
      <c r="M36" s="61"/>
      <c r="N36" s="64"/>
      <c r="O36" s="18"/>
      <c r="P36" s="145" t="str">
        <f t="shared" si="24"/>
        <v/>
      </c>
      <c r="Q36" s="145" t="str">
        <f t="shared" si="25"/>
        <v/>
      </c>
      <c r="R36" s="1" t="str">
        <f t="shared" si="26"/>
        <v/>
      </c>
      <c r="S36" s="13" t="str">
        <f t="shared" si="16"/>
        <v/>
      </c>
      <c r="T36" s="1" t="str">
        <f t="shared" si="27"/>
        <v/>
      </c>
      <c r="U36" s="13" t="str">
        <f t="shared" si="17"/>
        <v/>
      </c>
      <c r="V36" s="13" t="str">
        <f t="shared" si="18"/>
        <v/>
      </c>
      <c r="W36" s="10" t="str">
        <f t="shared" si="19"/>
        <v/>
      </c>
      <c r="X36" s="9" t="str">
        <f t="shared" si="28"/>
        <v/>
      </c>
      <c r="Y36" s="9" t="str">
        <f t="shared" si="29"/>
        <v/>
      </c>
      <c r="Z36" s="10" t="str">
        <f t="shared" si="20"/>
        <v/>
      </c>
      <c r="AA36" s="10" t="str">
        <f t="shared" si="21"/>
        <v/>
      </c>
      <c r="AB36" s="10" t="str">
        <f t="shared" si="22"/>
        <v/>
      </c>
      <c r="AC36" s="11" t="str">
        <f t="shared" si="30"/>
        <v/>
      </c>
      <c r="AD36" s="11" t="str">
        <f t="shared" si="31"/>
        <v/>
      </c>
      <c r="AE36" s="11" t="str">
        <f t="shared" si="32"/>
        <v/>
      </c>
      <c r="AF36" s="13" t="str">
        <f t="shared" si="23"/>
        <v/>
      </c>
      <c r="AG36" s="1" t="str">
        <f t="shared" si="33"/>
        <v/>
      </c>
      <c r="AH36" s="1" t="str">
        <f t="shared" si="34"/>
        <v/>
      </c>
      <c r="AI36" s="1" t="str">
        <f t="shared" si="35"/>
        <v/>
      </c>
      <c r="AJ36" s="1" t="str">
        <f t="shared" si="36"/>
        <v/>
      </c>
    </row>
    <row r="37" spans="2:36" ht="12" customHeight="1" thickBot="1" x14ac:dyDescent="0.35">
      <c r="B37" s="59" t="s">
        <v>13</v>
      </c>
      <c r="C37" s="60" t="s">
        <v>270</v>
      </c>
      <c r="D37" s="61"/>
      <c r="E37" s="1">
        <f>IFERROR(IF(C345="Korrugert stålplate","",VLOOKUP(C37,Materialdata!D11:E20,2,FALSE)),"")</f>
        <v>0</v>
      </c>
      <c r="F37" s="62">
        <f>IFERROR(IF(C37="Korrugert stålplate",0,D37/1000/E37),"")</f>
        <v>0</v>
      </c>
      <c r="H37" s="143"/>
      <c r="I37" s="73"/>
      <c r="J37" s="73"/>
      <c r="K37" s="73"/>
      <c r="L37" s="73"/>
      <c r="M37" s="73"/>
      <c r="N37" s="74"/>
      <c r="O37" s="18"/>
      <c r="P37" s="145" t="str">
        <f t="shared" si="24"/>
        <v/>
      </c>
      <c r="Q37" s="145" t="str">
        <f t="shared" si="25"/>
        <v/>
      </c>
      <c r="R37" s="1" t="str">
        <f t="shared" si="26"/>
        <v/>
      </c>
      <c r="S37" s="13" t="str">
        <f t="shared" si="16"/>
        <v/>
      </c>
      <c r="T37" s="1" t="str">
        <f t="shared" si="27"/>
        <v/>
      </c>
      <c r="U37" s="13" t="str">
        <f t="shared" si="17"/>
        <v/>
      </c>
      <c r="V37" s="13" t="str">
        <f t="shared" si="18"/>
        <v/>
      </c>
      <c r="W37" s="10" t="str">
        <f t="shared" si="19"/>
        <v/>
      </c>
      <c r="X37" s="9" t="str">
        <f t="shared" si="28"/>
        <v/>
      </c>
      <c r="Y37" s="9" t="str">
        <f t="shared" si="29"/>
        <v/>
      </c>
      <c r="Z37" s="10" t="str">
        <f t="shared" si="20"/>
        <v/>
      </c>
      <c r="AA37" s="10" t="str">
        <f t="shared" si="21"/>
        <v/>
      </c>
      <c r="AB37" s="10" t="str">
        <f t="shared" si="22"/>
        <v/>
      </c>
      <c r="AC37" s="11" t="str">
        <f t="shared" si="30"/>
        <v/>
      </c>
      <c r="AD37" s="11" t="str">
        <f t="shared" si="31"/>
        <v/>
      </c>
      <c r="AE37" s="11" t="str">
        <f t="shared" si="32"/>
        <v/>
      </c>
      <c r="AF37" s="13" t="str">
        <f t="shared" si="23"/>
        <v/>
      </c>
      <c r="AG37" s="1" t="str">
        <f t="shared" si="33"/>
        <v/>
      </c>
      <c r="AH37" s="1" t="str">
        <f t="shared" si="34"/>
        <v/>
      </c>
      <c r="AI37" s="1" t="str">
        <f t="shared" si="35"/>
        <v/>
      </c>
      <c r="AJ37" s="1" t="str">
        <f t="shared" si="36"/>
        <v/>
      </c>
    </row>
    <row r="38" spans="2:36" s="7" customFormat="1" ht="12" customHeight="1" thickBot="1" x14ac:dyDescent="0.35">
      <c r="B38" s="59"/>
      <c r="C38" s="60"/>
      <c r="D38" s="61"/>
      <c r="E38" s="61"/>
      <c r="F38" s="62" t="str">
        <f>IFERROR(D38/1000/E38,"")</f>
        <v/>
      </c>
      <c r="G38" s="3"/>
      <c r="H38" s="2"/>
      <c r="I38" s="2"/>
      <c r="J38" s="2"/>
      <c r="K38" s="2"/>
      <c r="L38" s="3"/>
      <c r="M38" s="3"/>
      <c r="N38" s="3"/>
      <c r="O38" s="18"/>
      <c r="P38" s="18"/>
      <c r="Q38" s="18"/>
      <c r="R38" s="3"/>
      <c r="S38" s="3"/>
      <c r="T38" s="3"/>
      <c r="U38" s="1"/>
      <c r="V38" s="3"/>
      <c r="W38" s="3"/>
      <c r="X38" s="3"/>
      <c r="Y38" s="3"/>
      <c r="Z38" s="3"/>
      <c r="AA38" s="3"/>
      <c r="AB38" s="3"/>
      <c r="AC38" s="3"/>
      <c r="AD38" s="3"/>
      <c r="AE38" s="3"/>
      <c r="AH38" s="3"/>
    </row>
    <row r="39" spans="2:36" ht="15" customHeight="1" thickTop="1" x14ac:dyDescent="0.3">
      <c r="B39" s="46" t="s">
        <v>310</v>
      </c>
      <c r="D39" s="2"/>
      <c r="E39" s="2"/>
      <c r="F39" s="64"/>
      <c r="H39" s="75" t="s">
        <v>229</v>
      </c>
      <c r="I39" s="76"/>
      <c r="J39" s="76"/>
      <c r="K39" s="76"/>
      <c r="L39" s="76"/>
      <c r="M39" s="76"/>
      <c r="N39" s="77"/>
      <c r="O39" s="18"/>
      <c r="P39" s="18"/>
      <c r="Q39" s="18"/>
      <c r="U39" s="1"/>
    </row>
    <row r="40" spans="2:36" ht="12" customHeight="1" x14ac:dyDescent="0.3">
      <c r="B40" s="46"/>
      <c r="F40" s="49"/>
      <c r="H40" s="78" t="s">
        <v>80</v>
      </c>
      <c r="I40" s="3"/>
      <c r="K40" s="1"/>
      <c r="L40" s="47" t="s">
        <v>66</v>
      </c>
      <c r="M40" s="47" t="s">
        <v>67</v>
      </c>
      <c r="N40" s="79" t="s">
        <v>68</v>
      </c>
      <c r="O40" s="18"/>
      <c r="P40" s="18"/>
      <c r="Q40" s="18"/>
      <c r="U40" s="1"/>
    </row>
    <row r="41" spans="2:36" ht="12" customHeight="1" x14ac:dyDescent="0.3">
      <c r="B41" s="65" t="s">
        <v>62</v>
      </c>
      <c r="D41" s="2"/>
      <c r="E41" s="4" t="s">
        <v>8</v>
      </c>
      <c r="F41" s="66"/>
      <c r="H41" s="78" t="s">
        <v>22</v>
      </c>
      <c r="I41" s="3"/>
      <c r="K41" s="1" t="s">
        <v>6</v>
      </c>
      <c r="L41" s="30">
        <v>5</v>
      </c>
      <c r="M41" s="30"/>
      <c r="N41" s="80"/>
      <c r="O41" s="18"/>
      <c r="P41" s="18"/>
      <c r="Q41" s="18"/>
      <c r="U41" s="1"/>
    </row>
    <row r="42" spans="2:36" ht="12" customHeight="1" thickBot="1" x14ac:dyDescent="0.35">
      <c r="B42" s="105" t="s">
        <v>61</v>
      </c>
      <c r="C42" s="51"/>
      <c r="D42" s="51"/>
      <c r="E42" s="52" t="s">
        <v>8</v>
      </c>
      <c r="F42" s="106">
        <f>20*13.5</f>
        <v>270</v>
      </c>
      <c r="H42" s="81" t="s">
        <v>64</v>
      </c>
      <c r="I42" s="3"/>
      <c r="K42" s="1" t="s">
        <v>9</v>
      </c>
      <c r="L42" s="30">
        <v>20</v>
      </c>
      <c r="M42" s="30"/>
      <c r="N42" s="80"/>
      <c r="O42" s="18"/>
      <c r="P42" s="18"/>
      <c r="Q42" s="18"/>
    </row>
    <row r="43" spans="2:36" ht="12" customHeight="1" x14ac:dyDescent="0.3">
      <c r="H43" s="81" t="s">
        <v>65</v>
      </c>
      <c r="I43" s="3"/>
      <c r="K43" s="1" t="s">
        <v>9</v>
      </c>
      <c r="L43" s="21">
        <f>IF((L42+L41*1000/40)&gt;0,L42+L41*1000/40,"")</f>
        <v>145</v>
      </c>
      <c r="M43" s="21" t="str">
        <f>IF((M42+M41*1000/60)&gt;0,M42+M41*1000/60,"")</f>
        <v/>
      </c>
      <c r="N43" s="98" t="str">
        <f>IF((N42+N41*1000/100)&gt;0,N42+N41*1000/100,"")</f>
        <v/>
      </c>
      <c r="O43" s="18"/>
      <c r="P43" s="18"/>
      <c r="Q43" s="18"/>
    </row>
    <row r="44" spans="2:36" ht="12" customHeight="1" x14ac:dyDescent="0.3">
      <c r="B44" s="2" t="s">
        <v>300</v>
      </c>
      <c r="E44" s="4" t="s">
        <v>118</v>
      </c>
      <c r="F44" s="15">
        <f>(E26-F42)/F42*100</f>
        <v>0</v>
      </c>
      <c r="H44" s="81" t="s">
        <v>180</v>
      </c>
      <c r="K44" s="1" t="s">
        <v>9</v>
      </c>
      <c r="L44" s="21">
        <f>IFERROR(IF(L42+L45*1000/40,L42+L45*1000/40,""),"")</f>
        <v>51.25</v>
      </c>
      <c r="M44" s="21" t="str">
        <f>IFERROR(IF(M42+M45*1000/60,M42+M45*1000/60,""),"")</f>
        <v/>
      </c>
      <c r="N44" s="99"/>
      <c r="O44" s="21"/>
      <c r="P44" s="21"/>
      <c r="Q44" s="21"/>
    </row>
    <row r="45" spans="2:36" ht="12" customHeight="1" x14ac:dyDescent="0.3">
      <c r="D45" s="138"/>
      <c r="H45" s="81" t="s">
        <v>23</v>
      </c>
      <c r="K45" s="1" t="s">
        <v>6</v>
      </c>
      <c r="L45" s="1">
        <f>IF(L41/4&gt;0,L41/4,"")</f>
        <v>1.25</v>
      </c>
      <c r="M45" s="1" t="str">
        <f>IF(M41/4&gt;0,M41/4,"")</f>
        <v/>
      </c>
      <c r="N45" s="99"/>
    </row>
    <row r="46" spans="2:36" ht="12" customHeight="1" x14ac:dyDescent="0.3">
      <c r="D46" s="5"/>
      <c r="E46" s="4"/>
      <c r="H46" s="100" t="s">
        <v>71</v>
      </c>
      <c r="N46" s="99"/>
    </row>
    <row r="47" spans="2:36" ht="15" customHeight="1" thickBot="1" x14ac:dyDescent="0.35">
      <c r="H47" s="82" t="s">
        <v>82</v>
      </c>
      <c r="I47" s="84"/>
      <c r="J47" s="83"/>
      <c r="K47" s="83"/>
      <c r="L47" s="83"/>
      <c r="M47" s="83"/>
      <c r="N47" s="101"/>
    </row>
    <row r="48" spans="2:36" ht="12" customHeight="1" thickTop="1" x14ac:dyDescent="0.3"/>
    <row r="49" spans="2:43" ht="12" customHeight="1" x14ac:dyDescent="0.3">
      <c r="B49" s="5" t="s">
        <v>122</v>
      </c>
      <c r="C49" s="3"/>
    </row>
    <row r="50" spans="2:43" ht="12" customHeight="1" x14ac:dyDescent="0.3">
      <c r="B50" s="2" t="s">
        <v>35</v>
      </c>
      <c r="E50" s="1">
        <v>0.04</v>
      </c>
      <c r="F50" s="2" t="s">
        <v>11</v>
      </c>
      <c r="AL50" s="3" t="s">
        <v>92</v>
      </c>
      <c r="AN50" s="3" t="str">
        <f>"Vertikalsnitt gjenom delfelt "&amp;VLOOKUP($AP$3,$H$13:$N$37,1,)</f>
        <v>Vertikalsnitt gjenom delfelt C</v>
      </c>
    </row>
    <row r="51" spans="2:43" ht="12" customHeight="1" x14ac:dyDescent="0.3">
      <c r="B51" s="2" t="s">
        <v>34</v>
      </c>
      <c r="E51" s="14">
        <v>0.1</v>
      </c>
      <c r="F51" s="2" t="s">
        <v>11</v>
      </c>
      <c r="AL51" s="2"/>
      <c r="AM51" s="2"/>
    </row>
    <row r="52" spans="2:43" ht="12" customHeight="1" x14ac:dyDescent="0.3">
      <c r="B52" s="3"/>
      <c r="C52" s="3"/>
      <c r="F52" s="2"/>
      <c r="AL52" s="2"/>
      <c r="AM52" s="2"/>
      <c r="AN52" s="1"/>
      <c r="AO52" s="1"/>
      <c r="AP52" s="1"/>
      <c r="AQ52" s="1"/>
    </row>
    <row r="53" spans="2:43" ht="12" customHeight="1" x14ac:dyDescent="0.3">
      <c r="B53" s="5" t="s">
        <v>123</v>
      </c>
      <c r="C53" s="3"/>
      <c r="D53" s="13"/>
      <c r="F53" s="2"/>
      <c r="AL53" s="2"/>
      <c r="AM53" s="2"/>
      <c r="AN53" s="2" t="s">
        <v>153</v>
      </c>
    </row>
    <row r="54" spans="2:43" x14ac:dyDescent="0.3">
      <c r="B54" s="2" t="s">
        <v>185</v>
      </c>
      <c r="E54" s="13">
        <f>IFERROR(SUM(F31:F39)+SUM(E50:E51),"")</f>
        <v>4.4682456140350872</v>
      </c>
      <c r="F54" s="2" t="s">
        <v>11</v>
      </c>
      <c r="I54" s="3"/>
      <c r="AP54" s="165" t="s">
        <v>154</v>
      </c>
      <c r="AQ54" s="165"/>
    </row>
    <row r="55" spans="2:43" x14ac:dyDescent="0.3">
      <c r="B55" s="2" t="s">
        <v>63</v>
      </c>
      <c r="E55" s="13">
        <f>IFERROR(1/E54,"")</f>
        <v>0.22380148415721074</v>
      </c>
      <c r="F55" s="2" t="s">
        <v>5</v>
      </c>
      <c r="I55" s="3"/>
      <c r="R55" s="27"/>
    </row>
    <row r="56" spans="2:43" x14ac:dyDescent="0.3">
      <c r="I56" s="3"/>
      <c r="AN56" s="1" t="s">
        <v>85</v>
      </c>
      <c r="AO56" s="1" t="s">
        <v>86</v>
      </c>
      <c r="AP56" s="1" t="s">
        <v>87</v>
      </c>
      <c r="AQ56" s="21" t="s">
        <v>88</v>
      </c>
    </row>
    <row r="57" spans="2:43" x14ac:dyDescent="0.3">
      <c r="B57" s="2" t="s">
        <v>117</v>
      </c>
      <c r="D57" s="3" t="s">
        <v>275</v>
      </c>
      <c r="E57" s="13">
        <f>IFERROR(E16,"")</f>
        <v>0.14039852661604008</v>
      </c>
      <c r="F57" s="2" t="s">
        <v>5</v>
      </c>
      <c r="I57" s="3"/>
      <c r="AL57" s="2" t="s">
        <v>91</v>
      </c>
      <c r="AM57" s="2"/>
      <c r="AN57" s="1"/>
      <c r="AO57" s="1"/>
      <c r="AP57" s="1"/>
      <c r="AQ57" s="21"/>
    </row>
    <row r="58" spans="2:43" x14ac:dyDescent="0.3">
      <c r="I58" s="3"/>
      <c r="AL58" s="2" t="str">
        <f>$B$32&amp;", "&amp;$D$32</f>
        <v>Isolasjon, toppsjikt, 30</v>
      </c>
      <c r="AM58" s="2"/>
      <c r="AN58" s="1">
        <v>0</v>
      </c>
      <c r="AO58" s="1">
        <f>VLOOKUP($AP$3,$AF$13:$AJ$37,2,)</f>
        <v>5.5</v>
      </c>
      <c r="AP58" s="21">
        <f>$AP$59+$D$32</f>
        <v>211</v>
      </c>
      <c r="AQ58" s="21">
        <f>$AQ$59+$D$32</f>
        <v>349</v>
      </c>
    </row>
    <row r="59" spans="2:43" x14ac:dyDescent="0.3">
      <c r="C59" s="2" t="s">
        <v>271</v>
      </c>
      <c r="I59" s="3"/>
      <c r="AL59" s="2" t="str">
        <f>$B$33&amp;", "&amp;INT(VLOOKUP($AP$3,$AF$12:$AJ$36,3,))&amp;" - "&amp;INT(VLOOKUP($AP$3,$AF$12:$AJ$36,4,))</f>
        <v>Fallisolasjon, 51 - 189</v>
      </c>
      <c r="AM59" s="2"/>
      <c r="AN59" s="1">
        <v>0</v>
      </c>
      <c r="AO59" s="1">
        <f>VLOOKUP($AP$3,$AF$13:$AJ$37,2,)</f>
        <v>5.5</v>
      </c>
      <c r="AP59" s="21">
        <f>AP60+VLOOKUP($AP$3,$AF$12:$AJ$36,3,)</f>
        <v>181</v>
      </c>
      <c r="AQ59" s="21">
        <f>AQ60+VLOOKUP($AP$3,$AF$12:$AJ$36,4,)</f>
        <v>319</v>
      </c>
    </row>
    <row r="60" spans="2:43" x14ac:dyDescent="0.3">
      <c r="B60" s="2" t="s">
        <v>236</v>
      </c>
      <c r="E60" s="13">
        <f>IFERROR(1/(E54+E65/1000/$E$33),"")</f>
        <v>0.13668906922648555</v>
      </c>
      <c r="F60" s="2" t="s">
        <v>5</v>
      </c>
      <c r="AL60" s="2" t="str">
        <f>B34&amp;", "&amp;D34</f>
        <v>Isolasjon, hovedsjikt, 100</v>
      </c>
      <c r="AM60" s="2"/>
      <c r="AN60" s="1">
        <v>0</v>
      </c>
      <c r="AO60" s="1">
        <f>VLOOKUP($AP$3,$AF$13:$AJ$37,2,)</f>
        <v>5.5</v>
      </c>
      <c r="AP60" s="21">
        <f>$AP$61+VLOOKUP($AP$3,$AF$13:$AJ$37,5,)</f>
        <v>130</v>
      </c>
      <c r="AQ60" s="21">
        <f>$AP$60</f>
        <v>130</v>
      </c>
    </row>
    <row r="61" spans="2:43" x14ac:dyDescent="0.3">
      <c r="B61" s="2" t="s">
        <v>272</v>
      </c>
      <c r="E61" s="15">
        <f>IFERROR((E60-E57)/E57*100,"")</f>
        <v>-2.6420913943770215</v>
      </c>
      <c r="F61" s="2" t="s">
        <v>118</v>
      </c>
      <c r="AL61" s="2" t="str">
        <f>B35&amp;", "&amp;D35</f>
        <v>Isolasjon bunnsjikt, 30</v>
      </c>
      <c r="AM61" s="2"/>
      <c r="AN61" s="1">
        <v>0</v>
      </c>
      <c r="AO61" s="1">
        <f>VLOOKUP($AP$3,$AF$13:$AJ$37,2,)</f>
        <v>5.5</v>
      </c>
      <c r="AP61" s="21">
        <f>$D$35</f>
        <v>30</v>
      </c>
      <c r="AQ61" s="21">
        <f>$AP$61</f>
        <v>30</v>
      </c>
    </row>
    <row r="62" spans="2:43" x14ac:dyDescent="0.3">
      <c r="B62" s="2" t="s">
        <v>273</v>
      </c>
      <c r="E62" s="15">
        <f>IFERROR(-(1/E60-1/E57)*$E$33*1000,"")</f>
        <v>-7.3450988842400138</v>
      </c>
      <c r="F62" s="2" t="s">
        <v>9</v>
      </c>
    </row>
    <row r="63" spans="2:43" x14ac:dyDescent="0.3">
      <c r="B63" s="2" t="s">
        <v>274</v>
      </c>
      <c r="E63" s="15">
        <f>IFERROR(E62*E26/1000,"")</f>
        <v>-1.9831766987448036</v>
      </c>
      <c r="F63" s="2" t="s">
        <v>7</v>
      </c>
    </row>
    <row r="65" spans="2:17" x14ac:dyDescent="0.3">
      <c r="B65" s="2" t="s">
        <v>116</v>
      </c>
      <c r="E65" s="21">
        <f>IFERROR(E21/E26*1000,"")</f>
        <v>108.20987654320987</v>
      </c>
      <c r="F65" s="2" t="s">
        <v>9</v>
      </c>
    </row>
    <row r="68" spans="2:17" x14ac:dyDescent="0.3">
      <c r="G68" s="7"/>
    </row>
    <row r="69" spans="2:17" x14ac:dyDescent="0.3">
      <c r="F69" s="7"/>
      <c r="G69" s="7"/>
    </row>
    <row r="71" spans="2:17" x14ac:dyDescent="0.3">
      <c r="B71" s="3"/>
      <c r="C71" s="3"/>
      <c r="I71" s="3"/>
      <c r="M71" s="7"/>
      <c r="N71" s="7"/>
      <c r="O71" s="7"/>
      <c r="P71" s="7"/>
      <c r="Q71" s="7"/>
    </row>
    <row r="72" spans="2:17" x14ac:dyDescent="0.3">
      <c r="B72" s="3"/>
      <c r="C72" s="3"/>
    </row>
    <row r="73" spans="2:17" x14ac:dyDescent="0.3">
      <c r="B73" s="3"/>
      <c r="C73" s="3"/>
    </row>
    <row r="74" spans="2:17" x14ac:dyDescent="0.3">
      <c r="B74" s="3"/>
      <c r="C74" s="3"/>
    </row>
    <row r="81" spans="2:9" x14ac:dyDescent="0.3">
      <c r="I81" s="3"/>
    </row>
    <row r="82" spans="2:9" x14ac:dyDescent="0.3">
      <c r="B82" s="3"/>
      <c r="I82" s="3"/>
    </row>
    <row r="83" spans="2:9" x14ac:dyDescent="0.3">
      <c r="I83" s="3"/>
    </row>
    <row r="84" spans="2:9" x14ac:dyDescent="0.3">
      <c r="I84" s="3"/>
    </row>
    <row r="85" spans="2:9" x14ac:dyDescent="0.3">
      <c r="I85" s="3"/>
    </row>
    <row r="86" spans="2:9" x14ac:dyDescent="0.3">
      <c r="I86" s="3"/>
    </row>
    <row r="87" spans="2:9" x14ac:dyDescent="0.3">
      <c r="I87" s="3"/>
    </row>
    <row r="88" spans="2:9" x14ac:dyDescent="0.3">
      <c r="I88" s="3"/>
    </row>
    <row r="89" spans="2:9" x14ac:dyDescent="0.3">
      <c r="I89" s="3"/>
    </row>
  </sheetData>
  <sheetProtection sheet="1" selectLockedCells="1"/>
  <mergeCells count="6">
    <mergeCell ref="P10:T10"/>
    <mergeCell ref="C11:F11"/>
    <mergeCell ref="C12:D12"/>
    <mergeCell ref="AP54:AQ54"/>
    <mergeCell ref="P11:Q11"/>
    <mergeCell ref="P29:Q29"/>
  </mergeCells>
  <pageMargins left="0.74803149606299213" right="0.23622047244094491" top="0.94488188976377963" bottom="0.39370078740157483" header="0.51181102362204722" footer="0.31496062992125984"/>
  <pageSetup paperSize="9" orientation="portrait" r:id="rId1"/>
  <headerFooter>
    <oddHeader>&amp;CUtviklet av SINTEF for EPS-gruppen</oddHeader>
    <oddFooter>&amp;C
side &amp;P av &amp;N</oddFooter>
  </headerFooter>
  <colBreaks count="1" manualBreakCount="1">
    <brk id="6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Materialdata!$A$11:$A$30</xm:f>
          </x14:formula1>
          <xm:sqref>C32:C35</xm:sqref>
        </x14:dataValidation>
        <x14:dataValidation type="list" allowBlank="1" showInputMessage="1" showErrorMessage="1" xr:uid="{00000000-0002-0000-0100-000001000000}">
          <x14:formula1>
            <xm:f>Materialdata!$D$11:$D$20</xm:f>
          </x14:formula1>
          <xm:sqref>C37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2"/>
  <dimension ref="B1:AZ88"/>
  <sheetViews>
    <sheetView zoomScale="80" zoomScaleNormal="80" workbookViewId="0">
      <selection activeCell="C11" sqref="C11:F11"/>
    </sheetView>
  </sheetViews>
  <sheetFormatPr baseColWidth="10" defaultColWidth="11.6640625" defaultRowHeight="13.8" x14ac:dyDescent="0.3"/>
  <cols>
    <col min="1" max="1" width="1.6640625" style="3" customWidth="1"/>
    <col min="2" max="3" width="19.88671875" style="2" customWidth="1"/>
    <col min="4" max="4" width="19.88671875" style="3" customWidth="1"/>
    <col min="5" max="6" width="10.6640625" style="3" customWidth="1"/>
    <col min="7" max="7" width="15.88671875" style="3" customWidth="1"/>
    <col min="8" max="9" width="16.6640625" style="3" customWidth="1"/>
    <col min="10" max="14" width="12.109375" style="3" customWidth="1"/>
    <col min="15" max="16" width="9.33203125" style="3" hidden="1" customWidth="1"/>
    <col min="17" max="17" width="12" style="3" hidden="1" customWidth="1"/>
    <col min="18" max="18" width="10.6640625" style="1" hidden="1" customWidth="1"/>
    <col min="19" max="20" width="10.6640625" style="3" hidden="1" customWidth="1"/>
    <col min="21" max="23" width="11.33203125" style="3" hidden="1" customWidth="1"/>
    <col min="24" max="24" width="2.33203125" style="3" hidden="1" customWidth="1"/>
    <col min="25" max="26" width="7.44140625" style="3" hidden="1" customWidth="1"/>
    <col min="27" max="27" width="7.88671875" style="3" hidden="1" customWidth="1"/>
    <col min="28" max="28" width="7.109375" style="3" hidden="1" customWidth="1"/>
    <col min="29" max="44" width="11.6640625" style="3" hidden="1" customWidth="1"/>
    <col min="45" max="45" width="14.44140625" style="3" hidden="1" customWidth="1"/>
    <col min="46" max="46" width="11.6640625" style="3" hidden="1" customWidth="1"/>
    <col min="47" max="16384" width="11.6640625" style="3"/>
  </cols>
  <sheetData>
    <row r="1" spans="2:45" x14ac:dyDescent="0.3">
      <c r="B1" s="12" t="s">
        <v>305</v>
      </c>
      <c r="Q1" s="12" t="s">
        <v>72</v>
      </c>
    </row>
    <row r="2" spans="2:45" x14ac:dyDescent="0.3">
      <c r="B2" s="3" t="s">
        <v>314</v>
      </c>
      <c r="D2" s="4" t="s">
        <v>304</v>
      </c>
      <c r="H2" s="2" t="s">
        <v>231</v>
      </c>
      <c r="Q2" s="3" t="s">
        <v>96</v>
      </c>
    </row>
    <row r="3" spans="2:45" x14ac:dyDescent="0.3">
      <c r="H3" s="2" t="s">
        <v>226</v>
      </c>
    </row>
    <row r="4" spans="2:45" x14ac:dyDescent="0.3">
      <c r="B4" s="12" t="s">
        <v>232</v>
      </c>
      <c r="H4" s="2" t="s">
        <v>311</v>
      </c>
      <c r="Q4" s="3" t="s">
        <v>97</v>
      </c>
    </row>
    <row r="5" spans="2:45" x14ac:dyDescent="0.3">
      <c r="B5" s="3" t="s">
        <v>237</v>
      </c>
    </row>
    <row r="6" spans="2:45" x14ac:dyDescent="0.3">
      <c r="F6" s="4"/>
      <c r="R6" s="2"/>
      <c r="U6" s="5"/>
    </row>
    <row r="7" spans="2:45" ht="15.6" x14ac:dyDescent="0.3">
      <c r="B7" s="12" t="s">
        <v>313</v>
      </c>
      <c r="C7" s="12"/>
      <c r="F7" s="4"/>
    </row>
    <row r="8" spans="2:45" x14ac:dyDescent="0.3">
      <c r="B8" s="2" t="s">
        <v>312</v>
      </c>
      <c r="C8" s="12"/>
      <c r="F8" s="4"/>
    </row>
    <row r="9" spans="2:45" ht="14.4" thickBot="1" x14ac:dyDescent="0.35">
      <c r="B9" s="12"/>
      <c r="C9" s="12"/>
      <c r="F9" s="4"/>
    </row>
    <row r="10" spans="2:45" ht="15.6" customHeight="1" x14ac:dyDescent="0.3">
      <c r="B10" s="67" t="s">
        <v>110</v>
      </c>
      <c r="C10" s="110"/>
      <c r="D10" s="44"/>
      <c r="E10" s="44"/>
      <c r="F10" s="102"/>
      <c r="Q10" s="5" t="s">
        <v>112</v>
      </c>
      <c r="S10" s="1"/>
      <c r="T10" s="1"/>
      <c r="U10" s="1"/>
      <c r="V10" s="20"/>
      <c r="W10" s="1"/>
      <c r="X10" s="1"/>
      <c r="Y10" s="1"/>
      <c r="Z10" s="1"/>
      <c r="AA10" s="1"/>
      <c r="AB10" s="1"/>
      <c r="AC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2:45" ht="41.4" customHeight="1" x14ac:dyDescent="0.3">
      <c r="B11" s="103" t="s">
        <v>37</v>
      </c>
      <c r="C11" s="162" t="s">
        <v>84</v>
      </c>
      <c r="D11" s="162"/>
      <c r="E11" s="162"/>
      <c r="F11" s="163"/>
      <c r="Q11" s="35" t="s">
        <v>155</v>
      </c>
      <c r="R11" s="35" t="s">
        <v>60</v>
      </c>
      <c r="S11" s="35" t="s">
        <v>23</v>
      </c>
      <c r="T11" s="35" t="s">
        <v>22</v>
      </c>
      <c r="U11" s="35" t="s">
        <v>100</v>
      </c>
      <c r="V11" s="35" t="s">
        <v>101</v>
      </c>
      <c r="Y11" s="35" t="s">
        <v>28</v>
      </c>
      <c r="Z11" s="35" t="s">
        <v>27</v>
      </c>
      <c r="AA11" s="35"/>
      <c r="AB11" s="35" t="s">
        <v>93</v>
      </c>
      <c r="AC11" s="35" t="s">
        <v>30</v>
      </c>
      <c r="AD11" s="36"/>
      <c r="AE11" s="37" t="s">
        <v>32</v>
      </c>
      <c r="AF11" s="37"/>
      <c r="AG11" s="37" t="s">
        <v>53</v>
      </c>
      <c r="AH11" s="37" t="s">
        <v>54</v>
      </c>
      <c r="AI11" s="38"/>
      <c r="AJ11" s="37" t="s">
        <v>56</v>
      </c>
      <c r="AK11" s="38"/>
      <c r="AL11" s="38"/>
      <c r="AM11" s="38"/>
      <c r="AN11" s="39" t="s">
        <v>90</v>
      </c>
      <c r="AO11" s="39" t="s">
        <v>89</v>
      </c>
      <c r="AS11" s="3" t="s">
        <v>158</v>
      </c>
    </row>
    <row r="12" spans="2:45" ht="15" customHeight="1" thickBot="1" x14ac:dyDescent="0.35">
      <c r="B12" s="50" t="s">
        <v>38</v>
      </c>
      <c r="C12" s="116"/>
      <c r="D12" s="116"/>
      <c r="E12" s="52" t="s">
        <v>39</v>
      </c>
      <c r="F12" s="53"/>
      <c r="Q12" s="29" t="s">
        <v>109</v>
      </c>
      <c r="R12" s="18"/>
      <c r="S12" s="18" t="s">
        <v>6</v>
      </c>
      <c r="T12" s="18" t="s">
        <v>6</v>
      </c>
      <c r="U12" s="18" t="s">
        <v>9</v>
      </c>
      <c r="V12" s="18" t="s">
        <v>9</v>
      </c>
      <c r="W12" s="18"/>
      <c r="X12" s="18"/>
      <c r="Y12" s="18"/>
      <c r="Z12" s="1" t="s">
        <v>5</v>
      </c>
      <c r="AA12" s="1"/>
      <c r="AB12" s="18" t="s">
        <v>8</v>
      </c>
      <c r="AC12" s="18" t="s">
        <v>7</v>
      </c>
      <c r="AE12" s="9" t="s">
        <v>33</v>
      </c>
      <c r="AF12" s="8"/>
      <c r="AG12" s="8" t="s">
        <v>9</v>
      </c>
      <c r="AH12" s="9" t="s">
        <v>11</v>
      </c>
      <c r="AI12" s="9"/>
      <c r="AJ12" s="9" t="s">
        <v>11</v>
      </c>
      <c r="AK12" s="9"/>
      <c r="AL12" s="9"/>
      <c r="AM12" s="9"/>
      <c r="AN12" s="6"/>
      <c r="AO12" s="6"/>
      <c r="AS12" s="2" t="s">
        <v>193</v>
      </c>
    </row>
    <row r="13" spans="2:45" ht="12" customHeight="1" x14ac:dyDescent="0.3">
      <c r="Q13" s="2" t="s">
        <v>51</v>
      </c>
      <c r="R13" s="1">
        <v>2</v>
      </c>
      <c r="S13" s="15">
        <f>D42</f>
        <v>20</v>
      </c>
      <c r="T13" s="1">
        <f>(D43-D44)/2</f>
        <v>6.75</v>
      </c>
      <c r="U13" s="1">
        <f>D45</f>
        <v>20</v>
      </c>
      <c r="V13" s="21">
        <f>$U13+$T13*1000/IF($D$41="1:40",40,IF($D$41="1:60",60,IF($D$41="1:80",80,IF($D$41="1:100",100,0))))</f>
        <v>188.75</v>
      </c>
      <c r="Y13" s="1" t="str">
        <f>IFERROR("1:"&amp;ROUND(T13*1000/(MAX(U13:W13)-MIN(U13:W13)),1),"")</f>
        <v>1:40</v>
      </c>
      <c r="Z13" s="13">
        <f>IFERROR(IF(AG13=0,1/AH13,1/AJ13*LN(1+AJ13/AH13)),"")</f>
        <v>0.13922358480141267</v>
      </c>
      <c r="AA13" s="13"/>
      <c r="AB13" s="1">
        <f>IF(T13*S13*R13&gt;0,T13*S13*R13,"")</f>
        <v>270</v>
      </c>
      <c r="AC13" s="1">
        <f>IFERROR((U13+V13)/2000*AB13,"")</f>
        <v>28.181249999999999</v>
      </c>
      <c r="AE13" s="10">
        <f>IFERROR(Z13*AB13,"")</f>
        <v>37.590367896381423</v>
      </c>
      <c r="AF13" s="9"/>
      <c r="AG13" s="9">
        <f>IFERROR(MAX(U13:W13)-IF(MEDIAN(U13:W13)&gt;=MIN(U13:W13),MIN(U13:W13),0),"")</f>
        <v>168.75</v>
      </c>
      <c r="AH13" s="10">
        <f>IFERROR(IF(MIN(U13:W13)&gt;0,$L$35+MIN(U13:W13)/1000/$D$47,""),"")</f>
        <v>5.0396741854636584</v>
      </c>
      <c r="AI13" s="9"/>
      <c r="AJ13" s="10">
        <f>IFERROR(AG13/1000/$D$47,"")</f>
        <v>4.8214285714285712</v>
      </c>
      <c r="AK13" s="9"/>
      <c r="AL13" s="9"/>
      <c r="AM13" s="9"/>
      <c r="AN13" s="10">
        <f t="shared" ref="AN13:AN19" si="0">IFERROR((V13-U13)/T13/1000,"")</f>
        <v>2.5000000000000001E-2</v>
      </c>
      <c r="AO13" s="9">
        <f t="shared" ref="AO13:AO19" si="1">IF((U13+V13)/2&gt;0,(U13+V13)/2,"")</f>
        <v>104.375</v>
      </c>
      <c r="AS13" s="2" t="s">
        <v>194</v>
      </c>
    </row>
    <row r="14" spans="2:45" ht="12" customHeight="1" x14ac:dyDescent="0.3">
      <c r="B14" s="41" t="s">
        <v>157</v>
      </c>
      <c r="C14" s="41"/>
      <c r="D14" s="41"/>
      <c r="E14" s="42">
        <f>(IF($D$40="Tosidig fall mot renne",$AE$13+E25/L35,IF($D$40="Firesidig fall mot sluk",$AE$30,0)))/$E$24</f>
        <v>0.13922358480141267</v>
      </c>
      <c r="F14" s="41" t="s">
        <v>5</v>
      </c>
      <c r="Q14" s="2"/>
      <c r="S14" s="15"/>
      <c r="T14" s="15"/>
      <c r="U14" s="1"/>
      <c r="V14" s="1"/>
      <c r="Y14" s="1" t="str">
        <f t="shared" ref="Y14:Y19" si="2">IFERROR("1:"&amp;ROUND(T14*1000/(MAX(U14:W14)-MIN(U14:W14)),1),"")</f>
        <v/>
      </c>
      <c r="Z14" s="13" t="str">
        <f>IFERROR(IF(AG14=0,1/AH14,1/AJ14*LN(1+AJ14/AH14)),"")</f>
        <v/>
      </c>
      <c r="AA14" s="13"/>
      <c r="AB14" s="1" t="str">
        <f t="shared" ref="AB14:AB16" si="3">IF(T14*S14*R14&gt;0,T14*S14*R14,"")</f>
        <v/>
      </c>
      <c r="AC14" s="1" t="str">
        <f t="shared" ref="AC14:AC16" si="4">IFERROR((U14+V14)/2000*AB14,"")</f>
        <v/>
      </c>
      <c r="AE14" s="10" t="str">
        <f>IFERROR(Z14*AB14,"")</f>
        <v/>
      </c>
      <c r="AF14" s="9"/>
      <c r="AG14" s="9" t="str">
        <f>IFERROR(MAX(U14:W14)-IF(MEDIAN(U14:W14)&gt;=MIN(U14:W14),MIN(U14:W14),0),"")</f>
        <v/>
      </c>
      <c r="AH14" s="10" t="str">
        <f>IFERROR(IF(MIN(U14:W14)&gt;0,$L$35+MIN(U14:W14)/1000/$D$47,""),"")</f>
        <v/>
      </c>
      <c r="AI14" s="9"/>
      <c r="AJ14" s="10" t="str">
        <f>IFERROR(AG14/1000/$D$47,"")</f>
        <v/>
      </c>
      <c r="AK14" s="9"/>
      <c r="AL14" s="9"/>
      <c r="AM14" s="9"/>
      <c r="AN14" s="10" t="str">
        <f t="shared" si="0"/>
        <v/>
      </c>
      <c r="AO14" s="9" t="str">
        <f t="shared" si="1"/>
        <v/>
      </c>
      <c r="AS14" s="2"/>
    </row>
    <row r="15" spans="2:45" ht="12" customHeight="1" x14ac:dyDescent="0.3">
      <c r="B15" s="22" t="s">
        <v>43</v>
      </c>
      <c r="C15" s="22"/>
      <c r="D15" s="22"/>
      <c r="E15" s="25">
        <f>E14</f>
        <v>0.13922358480141267</v>
      </c>
      <c r="F15" s="22" t="s">
        <v>5</v>
      </c>
      <c r="Q15" s="2"/>
      <c r="S15" s="1"/>
      <c r="T15" s="1"/>
      <c r="U15" s="1"/>
      <c r="V15" s="1"/>
      <c r="Y15" s="1" t="str">
        <f t="shared" si="2"/>
        <v/>
      </c>
      <c r="Z15" s="13" t="str">
        <f>IFERROR(IF(AG15=0,1/AH15,1/AJ15*LN(1+AJ15/AH15)),"")</f>
        <v/>
      </c>
      <c r="AA15" s="13"/>
      <c r="AB15" s="1" t="str">
        <f t="shared" si="3"/>
        <v/>
      </c>
      <c r="AC15" s="1" t="str">
        <f t="shared" si="4"/>
        <v/>
      </c>
      <c r="AE15" s="10" t="str">
        <f>IFERROR(Z15*AB15,"")</f>
        <v/>
      </c>
      <c r="AF15" s="9"/>
      <c r="AG15" s="9" t="str">
        <f>IFERROR(MAX(U15:W15)-IF(MEDIAN(U15:W15)&gt;=MIN(U15:W15),MIN(U15:W15),0),"")</f>
        <v/>
      </c>
      <c r="AH15" s="10" t="str">
        <f>IFERROR(IF(MIN(U15:W15)&gt;0,$L$35+MIN(U15:W15)/1000/$D$47,""),"")</f>
        <v/>
      </c>
      <c r="AI15" s="9"/>
      <c r="AJ15" s="10" t="str">
        <f>IFERROR(AG15/1000/$D$47,"")</f>
        <v/>
      </c>
      <c r="AK15" s="9"/>
      <c r="AL15" s="9"/>
      <c r="AM15" s="9"/>
      <c r="AN15" s="10" t="str">
        <f t="shared" si="0"/>
        <v/>
      </c>
      <c r="AO15" s="9" t="str">
        <f t="shared" si="1"/>
        <v/>
      </c>
      <c r="AS15" s="43" t="s">
        <v>66</v>
      </c>
    </row>
    <row r="16" spans="2:45" ht="12" customHeight="1" x14ac:dyDescent="0.3">
      <c r="B16" s="3"/>
      <c r="C16" s="3"/>
      <c r="F16" s="2"/>
      <c r="Q16" s="2"/>
      <c r="S16" s="1"/>
      <c r="T16" s="1"/>
      <c r="U16" s="1"/>
      <c r="V16" s="1"/>
      <c r="Y16" s="1" t="str">
        <f t="shared" si="2"/>
        <v/>
      </c>
      <c r="Z16" s="13" t="str">
        <f>IFERROR(IF(AG16=0,1/AH16,1/AJ16*LN(1+AJ16/AH16)),"")</f>
        <v/>
      </c>
      <c r="AA16" s="13"/>
      <c r="AB16" s="1" t="str">
        <f t="shared" si="3"/>
        <v/>
      </c>
      <c r="AC16" s="1" t="str">
        <f t="shared" si="4"/>
        <v/>
      </c>
      <c r="AE16" s="10" t="str">
        <f>IFERROR(Z16*AB16,"")</f>
        <v/>
      </c>
      <c r="AF16" s="9"/>
      <c r="AG16" s="9" t="str">
        <f>IFERROR(MAX(U16:W16)-IF(MEDIAN(U16:W16)&gt;=MIN(U16:W16),MIN(U16:W16),0),"")</f>
        <v/>
      </c>
      <c r="AH16" s="10" t="str">
        <f>IFERROR(IF(MIN(U16:W16)&gt;0,$L$35+MIN(U16:W16)/1000/$D$47,""),"")</f>
        <v/>
      </c>
      <c r="AI16" s="9"/>
      <c r="AJ16" s="10" t="str">
        <f>IFERROR(AG16/1000/$D$47,"")</f>
        <v/>
      </c>
      <c r="AK16" s="9"/>
      <c r="AL16" s="9"/>
      <c r="AM16" s="9"/>
      <c r="AN16" s="10" t="str">
        <f t="shared" si="0"/>
        <v/>
      </c>
      <c r="AO16" s="9" t="str">
        <f t="shared" si="1"/>
        <v/>
      </c>
      <c r="AS16" s="43" t="s">
        <v>67</v>
      </c>
    </row>
    <row r="17" spans="2:52" ht="12" customHeight="1" x14ac:dyDescent="0.3">
      <c r="B17" s="12" t="s">
        <v>115</v>
      </c>
      <c r="C17" s="12"/>
      <c r="D17" s="2"/>
      <c r="E17" s="1"/>
      <c r="F17" s="2"/>
      <c r="Q17" s="2"/>
      <c r="S17" s="1"/>
      <c r="T17" s="1"/>
      <c r="U17" s="1"/>
      <c r="V17" s="1"/>
      <c r="Y17" s="1" t="str">
        <f t="shared" si="2"/>
        <v/>
      </c>
      <c r="Z17" s="13"/>
      <c r="AA17" s="13"/>
      <c r="AB17" s="1"/>
      <c r="AC17" s="1"/>
      <c r="AE17" s="10"/>
      <c r="AF17" s="9"/>
      <c r="AG17" s="9"/>
      <c r="AH17" s="10"/>
      <c r="AI17" s="9"/>
      <c r="AJ17" s="10"/>
      <c r="AK17" s="9"/>
      <c r="AL17" s="9"/>
      <c r="AM17" s="9"/>
      <c r="AN17" s="10" t="str">
        <f t="shared" si="0"/>
        <v/>
      </c>
      <c r="AO17" s="9" t="str">
        <f t="shared" si="1"/>
        <v/>
      </c>
      <c r="AS17" s="43" t="s">
        <v>238</v>
      </c>
    </row>
    <row r="18" spans="2:52" ht="12" customHeight="1" x14ac:dyDescent="0.3">
      <c r="B18" s="2" t="s">
        <v>0</v>
      </c>
      <c r="D18" s="2"/>
      <c r="E18" s="15">
        <f>$E$24*$D$31/1000</f>
        <v>8.1</v>
      </c>
      <c r="F18" s="2" t="s">
        <v>7</v>
      </c>
      <c r="Q18" s="2"/>
      <c r="S18" s="1"/>
      <c r="T18" s="1"/>
      <c r="U18" s="1"/>
      <c r="V18" s="1"/>
      <c r="Y18" s="1" t="str">
        <f t="shared" si="2"/>
        <v/>
      </c>
      <c r="Z18" s="13"/>
      <c r="AA18" s="13"/>
      <c r="AB18" s="1"/>
      <c r="AC18" s="1"/>
      <c r="AE18" s="10"/>
      <c r="AF18" s="9"/>
      <c r="AG18" s="9"/>
      <c r="AH18" s="10"/>
      <c r="AI18" s="9"/>
      <c r="AJ18" s="10"/>
      <c r="AK18" s="9"/>
      <c r="AL18" s="9"/>
      <c r="AM18" s="9"/>
      <c r="AN18" s="10" t="str">
        <f t="shared" si="0"/>
        <v/>
      </c>
      <c r="AO18" s="9" t="str">
        <f t="shared" si="1"/>
        <v/>
      </c>
      <c r="AS18" s="43" t="s">
        <v>68</v>
      </c>
    </row>
    <row r="19" spans="2:52" ht="12" customHeight="1" x14ac:dyDescent="0.3">
      <c r="B19" s="2" t="s">
        <v>41</v>
      </c>
      <c r="D19" s="2"/>
      <c r="E19" s="15">
        <f>IF($D$40="Tosidig fall mot renne",$AC$13,IF($D$40="Firesidig fall mot sluk",$AC$30,0))</f>
        <v>28.181249999999999</v>
      </c>
      <c r="F19" s="2" t="s">
        <v>7</v>
      </c>
      <c r="Q19" s="2"/>
      <c r="S19" s="1"/>
      <c r="T19" s="1"/>
      <c r="U19" s="1"/>
      <c r="V19" s="1"/>
      <c r="Y19" s="1" t="str">
        <f t="shared" si="2"/>
        <v/>
      </c>
      <c r="Z19" s="13"/>
      <c r="AA19" s="13"/>
      <c r="AB19" s="1"/>
      <c r="AC19" s="1"/>
      <c r="AE19" s="10"/>
      <c r="AF19" s="9"/>
      <c r="AG19" s="9"/>
      <c r="AH19" s="10"/>
      <c r="AI19" s="9"/>
      <c r="AJ19" s="10"/>
      <c r="AK19" s="9"/>
      <c r="AL19" s="9"/>
      <c r="AM19" s="9"/>
      <c r="AN19" s="10" t="str">
        <f t="shared" si="0"/>
        <v/>
      </c>
      <c r="AO19" s="9" t="str">
        <f t="shared" si="1"/>
        <v/>
      </c>
      <c r="AS19" s="2"/>
    </row>
    <row r="20" spans="2:52" ht="12" customHeight="1" x14ac:dyDescent="0.3">
      <c r="B20" s="2" t="s">
        <v>1</v>
      </c>
      <c r="D20" s="2"/>
      <c r="E20" s="15">
        <f>$E$24*$D$32/1000</f>
        <v>27</v>
      </c>
      <c r="F20" s="2" t="s">
        <v>7</v>
      </c>
      <c r="Q20" s="7"/>
      <c r="R20" s="7"/>
      <c r="Z20" s="1"/>
      <c r="AA20" s="1"/>
      <c r="AS20" s="2">
        <v>0</v>
      </c>
    </row>
    <row r="21" spans="2:52" ht="12" customHeight="1" x14ac:dyDescent="0.3">
      <c r="B21" s="2" t="s">
        <v>2</v>
      </c>
      <c r="D21" s="2"/>
      <c r="E21" s="15">
        <f>$E$24*$D$33/1000</f>
        <v>8.1</v>
      </c>
      <c r="F21" s="2" t="s">
        <v>7</v>
      </c>
      <c r="Q21" s="108"/>
      <c r="R21" s="3"/>
      <c r="AS21" s="2">
        <v>0.4</v>
      </c>
    </row>
    <row r="22" spans="2:52" ht="12" customHeight="1" x14ac:dyDescent="0.3">
      <c r="B22" s="2" t="s">
        <v>302</v>
      </c>
      <c r="D22" s="2"/>
      <c r="E22" s="15">
        <f>SUM(E18:E21)</f>
        <v>71.381249999999994</v>
      </c>
      <c r="F22" s="2" t="s">
        <v>7</v>
      </c>
      <c r="Q22" s="2"/>
      <c r="R22" s="3"/>
      <c r="T22" s="1"/>
      <c r="U22" s="47"/>
      <c r="V22" s="47"/>
      <c r="W22" s="47"/>
      <c r="AS22" s="2">
        <v>0.5</v>
      </c>
    </row>
    <row r="23" spans="2:52" ht="12" customHeight="1" x14ac:dyDescent="0.3">
      <c r="D23" s="2"/>
      <c r="E23" s="15"/>
      <c r="F23" s="2"/>
      <c r="Q23" s="2"/>
      <c r="R23" s="3"/>
      <c r="T23" s="1"/>
      <c r="U23" s="47"/>
      <c r="V23" s="47"/>
      <c r="W23" s="47"/>
      <c r="AS23" s="2"/>
    </row>
    <row r="24" spans="2:52" ht="12" customHeight="1" x14ac:dyDescent="0.3">
      <c r="B24" s="2" t="s">
        <v>195</v>
      </c>
      <c r="C24" s="12"/>
      <c r="D24" s="2"/>
      <c r="E24" s="15">
        <f>D42*D43</f>
        <v>270</v>
      </c>
      <c r="F24" s="2" t="s">
        <v>8</v>
      </c>
      <c r="Q24" s="2"/>
      <c r="R24" s="3"/>
      <c r="T24" s="1"/>
      <c r="U24" s="107"/>
      <c r="V24" s="107"/>
      <c r="W24" s="107"/>
      <c r="AS24" s="2">
        <v>0.6</v>
      </c>
    </row>
    <row r="25" spans="2:52" ht="12" customHeight="1" x14ac:dyDescent="0.3">
      <c r="B25" s="3" t="s">
        <v>197</v>
      </c>
      <c r="C25" s="3"/>
      <c r="E25" s="15">
        <f>IF($D$40="Tosidig fall mot renne",D42*D44,IF($D$40="Firesidig fall mot sluk",0,0))</f>
        <v>0</v>
      </c>
      <c r="F25" s="2" t="s">
        <v>8</v>
      </c>
      <c r="R25" s="3"/>
      <c r="T25" s="1"/>
      <c r="U25" s="107"/>
      <c r="V25" s="107"/>
      <c r="W25" s="107"/>
    </row>
    <row r="26" spans="2:52" ht="12" customHeight="1" thickBot="1" x14ac:dyDescent="0.35">
      <c r="R26" s="3"/>
      <c r="W26" s="21"/>
    </row>
    <row r="27" spans="2:52" ht="15" customHeight="1" x14ac:dyDescent="0.3">
      <c r="B27" s="54" t="s">
        <v>111</v>
      </c>
      <c r="C27" s="111"/>
      <c r="D27" s="44"/>
      <c r="E27" s="44"/>
      <c r="F27" s="45"/>
      <c r="Q27" s="5" t="s">
        <v>113</v>
      </c>
      <c r="AC27" s="1"/>
      <c r="AE27" s="6" t="s">
        <v>57</v>
      </c>
      <c r="AF27" s="6"/>
      <c r="AG27" s="6"/>
      <c r="AH27" s="6"/>
      <c r="AI27" s="6"/>
      <c r="AJ27" s="6"/>
      <c r="AK27" s="6"/>
      <c r="AL27" s="6"/>
      <c r="AM27" s="6"/>
    </row>
    <row r="28" spans="2:52" ht="27" customHeight="1" x14ac:dyDescent="0.3">
      <c r="B28" s="56" t="s">
        <v>18</v>
      </c>
      <c r="C28" s="16" t="s">
        <v>4</v>
      </c>
      <c r="D28" s="17" t="s">
        <v>3</v>
      </c>
      <c r="E28" s="17" t="s">
        <v>14</v>
      </c>
      <c r="F28" s="57" t="s">
        <v>15</v>
      </c>
      <c r="G28" s="7"/>
      <c r="M28" s="7"/>
      <c r="N28" s="7"/>
      <c r="O28" s="7"/>
      <c r="P28" s="7"/>
      <c r="Q28" s="35" t="s">
        <v>156</v>
      </c>
      <c r="R28" s="35" t="s">
        <v>59</v>
      </c>
      <c r="S28" s="35" t="s">
        <v>23</v>
      </c>
      <c r="T28" s="35" t="s">
        <v>22</v>
      </c>
      <c r="U28" s="35" t="s">
        <v>44</v>
      </c>
      <c r="V28" s="35" t="s">
        <v>45</v>
      </c>
      <c r="W28" s="35" t="s">
        <v>46</v>
      </c>
      <c r="X28" s="17"/>
      <c r="Y28" s="35" t="s">
        <v>28</v>
      </c>
      <c r="Z28" s="35" t="s">
        <v>27</v>
      </c>
      <c r="AA28" s="35"/>
      <c r="AB28" s="35" t="s">
        <v>29</v>
      </c>
      <c r="AC28" s="35" t="s">
        <v>30</v>
      </c>
      <c r="AD28" s="40"/>
      <c r="AE28" s="37" t="s">
        <v>32</v>
      </c>
      <c r="AF28" s="37" t="s">
        <v>52</v>
      </c>
      <c r="AG28" s="37" t="s">
        <v>53</v>
      </c>
      <c r="AH28" s="37" t="s">
        <v>54</v>
      </c>
      <c r="AI28" s="37" t="s">
        <v>55</v>
      </c>
      <c r="AJ28" s="37" t="s">
        <v>56</v>
      </c>
      <c r="AK28" s="37" t="s">
        <v>24</v>
      </c>
      <c r="AL28" s="37" t="s">
        <v>25</v>
      </c>
      <c r="AM28" s="37" t="s">
        <v>26</v>
      </c>
      <c r="AQ28" s="16"/>
      <c r="AR28" s="16"/>
      <c r="AS28" s="16" t="s">
        <v>158</v>
      </c>
      <c r="AT28" s="16"/>
      <c r="AU28" s="2"/>
      <c r="AV28" s="2"/>
      <c r="AX28" s="18"/>
      <c r="AY28" s="165"/>
      <c r="AZ28" s="165"/>
    </row>
    <row r="29" spans="2:52" ht="12" customHeight="1" x14ac:dyDescent="0.3">
      <c r="B29" s="46"/>
      <c r="D29" s="1" t="s">
        <v>9</v>
      </c>
      <c r="E29" s="1" t="s">
        <v>10</v>
      </c>
      <c r="F29" s="58" t="s">
        <v>11</v>
      </c>
      <c r="Q29" s="29" t="s">
        <v>109</v>
      </c>
      <c r="R29" s="18"/>
      <c r="S29" s="18" t="s">
        <v>6</v>
      </c>
      <c r="T29" s="18" t="s">
        <v>6</v>
      </c>
      <c r="U29" s="18" t="s">
        <v>9</v>
      </c>
      <c r="V29" s="18" t="s">
        <v>9</v>
      </c>
      <c r="W29" s="18" t="s">
        <v>9</v>
      </c>
      <c r="X29" s="18"/>
      <c r="Y29" s="19"/>
      <c r="Z29" s="1" t="s">
        <v>5</v>
      </c>
      <c r="AA29" s="1"/>
      <c r="AB29" s="18" t="s">
        <v>8</v>
      </c>
      <c r="AC29" s="18" t="s">
        <v>7</v>
      </c>
      <c r="AD29" s="7"/>
      <c r="AE29" s="9" t="s">
        <v>33</v>
      </c>
      <c r="AF29" s="8" t="s">
        <v>9</v>
      </c>
      <c r="AG29" s="8" t="s">
        <v>9</v>
      </c>
      <c r="AH29" s="9" t="s">
        <v>11</v>
      </c>
      <c r="AI29" s="9" t="s">
        <v>11</v>
      </c>
      <c r="AJ29" s="9" t="s">
        <v>11</v>
      </c>
      <c r="AK29" s="9" t="s">
        <v>5</v>
      </c>
      <c r="AL29" s="9" t="s">
        <v>5</v>
      </c>
      <c r="AM29" s="9" t="s">
        <v>5</v>
      </c>
      <c r="AQ29" s="2"/>
      <c r="AR29" s="2"/>
      <c r="AS29" s="2"/>
      <c r="AT29" s="2"/>
      <c r="AU29" s="2"/>
      <c r="AV29" s="2"/>
      <c r="AW29" s="1"/>
      <c r="AX29" s="1"/>
      <c r="AY29" s="1"/>
      <c r="AZ29" s="1"/>
    </row>
    <row r="30" spans="2:52" ht="12" customHeight="1" x14ac:dyDescent="0.3">
      <c r="B30" s="46" t="s">
        <v>42</v>
      </c>
      <c r="C30" s="2" t="s">
        <v>244</v>
      </c>
      <c r="D30" s="1"/>
      <c r="E30" s="1"/>
      <c r="F30" s="62">
        <v>0.03</v>
      </c>
      <c r="H30" s="5" t="s">
        <v>122</v>
      </c>
      <c r="I30" s="5"/>
      <c r="Q30" s="2" t="s">
        <v>51</v>
      </c>
      <c r="R30" s="1">
        <v>4</v>
      </c>
      <c r="S30" s="15">
        <f>D42</f>
        <v>20</v>
      </c>
      <c r="T30" s="15">
        <f>D43/2</f>
        <v>6.75</v>
      </c>
      <c r="U30" s="1">
        <f>D45</f>
        <v>20</v>
      </c>
      <c r="V30" s="21">
        <f>$U30+$T30*1000/IF($D$41="1:40",40,IF($D$41="1:60",60,IF($D$41="1:80",80,IF($D$41="1:100",100,0))))</f>
        <v>188.75</v>
      </c>
      <c r="W30" s="21">
        <f>$U30+$T30*1000/IF($D$41="1:40",40,IF($D$41="1:60",60,IF($D$41="1:80",80,IF($D$41="1:100",100,0))))</f>
        <v>188.75</v>
      </c>
      <c r="X30" s="18"/>
      <c r="Y30" s="1" t="str">
        <f t="shared" ref="Y30:Y36" si="5">IFERROR("1:"&amp;ROUND(T30*1000/(MAX(U30:W30)-MIN(U30:W30)),1),"")</f>
        <v>1:40</v>
      </c>
      <c r="Z30" s="13">
        <f t="shared" ref="Z30:Z36" si="6">IFERROR(IF(AG30=0,1/AH30,IF(MEDIAN(U30:W30)=MIN(U30:W30),AK30,IF(MEDIAN(U30:W30)=MAX(U30:W30),AL30,AM30))),"")</f>
        <v>0.12376352329957158</v>
      </c>
      <c r="AA30" s="13"/>
      <c r="AB30" s="1">
        <f>IF(R30=0,"",IFERROR(T30*S30/2*R30,""))</f>
        <v>270</v>
      </c>
      <c r="AC30" s="13">
        <f t="shared" ref="AC30:AC36" si="7">IFERROR((IF(MEDIAN(U30:W30)=MIN(U30:W30),AG30/3,IF(MEDIAN(U30:W30)=MAX(U30:W30),AG30*2/3,(AF30+AG30)/3))+MIN(U30:W30))*AB30/1000,"")</f>
        <v>35.774999999999999</v>
      </c>
      <c r="AE30" s="10">
        <f t="shared" ref="AE30:AE36" si="8">IFERROR(Z30*AB30,"")</f>
        <v>33.416151290884322</v>
      </c>
      <c r="AF30" s="9">
        <f t="shared" ref="AF30:AF36" si="9">IFERROR(IF(MEDIAN(U30:W30)=MIN(U30:W30),0,IF(MEDIAN(U30:W30)=MAX(U30:W30),0,MEDIAN(U30:W30)))-IF(MEDIAN(U30:W30)&gt;MIN(U30:W30),IF(MEDIAN(U30:W30)&lt;MAX(U30:W30),MIN(U30:W30),0)),"")</f>
        <v>0</v>
      </c>
      <c r="AG30" s="9">
        <f t="shared" ref="AG30:AG36" si="10">IFERROR(MAX(U30:W30)-IF(MEDIAN(U30:W30)&gt;=MIN(U30:W30),MIN(U30:W30),0),"")</f>
        <v>168.75</v>
      </c>
      <c r="AH30" s="10">
        <f t="shared" ref="AH30:AH36" si="11">IFERROR(IF(MIN(U30:W30)&gt;0,$L$35+MIN(U30:W30)/1000/$D$47,""),"")</f>
        <v>5.0396741854636584</v>
      </c>
      <c r="AI30" s="10">
        <f t="shared" ref="AI30:AJ36" si="12">IFERROR(AF30/1000/$D$47,"")</f>
        <v>0</v>
      </c>
      <c r="AJ30" s="10">
        <f t="shared" si="12"/>
        <v>4.8214285714285712</v>
      </c>
      <c r="AK30" s="11">
        <f>IFERROR(2/AJ30*((1+AH30/AJ30)*LN(1+AJ30/AH30)-1),"")</f>
        <v>0.15468364630325379</v>
      </c>
      <c r="AL30" s="11">
        <f t="shared" ref="AL30:AL36" si="13">IFERROR(2/AJ30*(1-AH30/AJ30*LN(1+AJ30/AH30)),"")</f>
        <v>0.12376352329957158</v>
      </c>
      <c r="AM30" s="11" t="str">
        <f t="shared" ref="AM30:AM36" si="14">IFERROR(2*(AH30*AI30*LN(1+AJ30/AH30)-AH30*AJ30*LN(1+AI30/AH30)+AI30*AJ30*LN((AH30+AJ30)/(AH30+AI30)))/(AI30*AJ30*(AJ30-AI30)),"")</f>
        <v/>
      </c>
      <c r="AU30" s="2"/>
      <c r="AV30" s="2"/>
      <c r="AW30" s="1"/>
      <c r="AX30" s="1"/>
      <c r="AY30" s="1"/>
      <c r="AZ30" s="21"/>
    </row>
    <row r="31" spans="2:52" ht="12" customHeight="1" x14ac:dyDescent="0.3">
      <c r="B31" s="59" t="s">
        <v>16</v>
      </c>
      <c r="C31" s="60" t="s">
        <v>251</v>
      </c>
      <c r="D31" s="61">
        <v>30</v>
      </c>
      <c r="E31" s="13">
        <f>VLOOKUP(C31,Materialdata!$A$11:$B$40,2,FALSE)</f>
        <v>3.5999999999999997E-2</v>
      </c>
      <c r="F31" s="62">
        <f>IFERROR(D31/1000/E31,"")</f>
        <v>0.83333333333333337</v>
      </c>
      <c r="H31" s="2" t="s">
        <v>35</v>
      </c>
      <c r="I31" s="2"/>
      <c r="J31" s="2"/>
      <c r="L31" s="1">
        <v>0.04</v>
      </c>
      <c r="M31" s="2" t="s">
        <v>11</v>
      </c>
      <c r="Q31" s="2"/>
      <c r="S31" s="1"/>
      <c r="T31" s="1"/>
      <c r="U31" s="1"/>
      <c r="V31" s="1"/>
      <c r="W31" s="1"/>
      <c r="X31" s="18"/>
      <c r="Y31" s="1" t="str">
        <f t="shared" si="5"/>
        <v/>
      </c>
      <c r="Z31" s="13" t="str">
        <f t="shared" si="6"/>
        <v/>
      </c>
      <c r="AA31" s="13"/>
      <c r="AB31" s="1" t="str">
        <f t="shared" ref="AB31:AB36" si="15">IF(R31=0,"",IFERROR(T31*S31/2*R31,""))</f>
        <v/>
      </c>
      <c r="AC31" s="13" t="str">
        <f t="shared" si="7"/>
        <v/>
      </c>
      <c r="AE31" s="10" t="str">
        <f t="shared" si="8"/>
        <v/>
      </c>
      <c r="AF31" s="9" t="str">
        <f t="shared" si="9"/>
        <v/>
      </c>
      <c r="AG31" s="9" t="str">
        <f t="shared" si="10"/>
        <v/>
      </c>
      <c r="AH31" s="10" t="str">
        <f t="shared" si="11"/>
        <v/>
      </c>
      <c r="AI31" s="10" t="str">
        <f t="shared" si="12"/>
        <v/>
      </c>
      <c r="AJ31" s="10" t="str">
        <f t="shared" si="12"/>
        <v/>
      </c>
      <c r="AK31" s="11" t="str">
        <f t="shared" ref="AK31:AK36" si="16">IFERROR(2/AJ31*((1+AH31/AJ31)*LN(1+AJ31/AH31)-1),"")</f>
        <v/>
      </c>
      <c r="AL31" s="11" t="str">
        <f t="shared" si="13"/>
        <v/>
      </c>
      <c r="AM31" s="11" t="str">
        <f t="shared" si="14"/>
        <v/>
      </c>
      <c r="AS31" s="3" t="s">
        <v>50</v>
      </c>
      <c r="AU31" s="2"/>
      <c r="AV31" s="2"/>
      <c r="AW31" s="1"/>
      <c r="AX31" s="1"/>
      <c r="AY31" s="1"/>
      <c r="AZ31" s="21"/>
    </row>
    <row r="32" spans="2:52" ht="12" customHeight="1" x14ac:dyDescent="0.3">
      <c r="B32" s="59" t="s">
        <v>17</v>
      </c>
      <c r="C32" s="60" t="s">
        <v>261</v>
      </c>
      <c r="D32" s="61">
        <v>100</v>
      </c>
      <c r="E32" s="13">
        <f>VLOOKUP(C32,Materialdata!$A$11:$B$40,2,FALSE)</f>
        <v>3.7999999999999999E-2</v>
      </c>
      <c r="F32" s="62">
        <f t="shared" ref="F32:F34" si="17">IFERROR(D32/1000/E32,"")</f>
        <v>2.6315789473684212</v>
      </c>
      <c r="H32" s="2" t="s">
        <v>34</v>
      </c>
      <c r="I32" s="2"/>
      <c r="J32" s="2"/>
      <c r="L32" s="14">
        <v>0.1</v>
      </c>
      <c r="M32" s="2" t="s">
        <v>11</v>
      </c>
      <c r="Q32" s="2"/>
      <c r="S32" s="1"/>
      <c r="T32" s="1"/>
      <c r="U32" s="1"/>
      <c r="V32" s="1"/>
      <c r="W32" s="1"/>
      <c r="X32" s="18"/>
      <c r="Y32" s="1" t="str">
        <f t="shared" si="5"/>
        <v/>
      </c>
      <c r="Z32" s="13" t="str">
        <f t="shared" si="6"/>
        <v/>
      </c>
      <c r="AA32" s="13"/>
      <c r="AB32" s="1" t="str">
        <f t="shared" si="15"/>
        <v/>
      </c>
      <c r="AC32" s="13" t="str">
        <f t="shared" si="7"/>
        <v/>
      </c>
      <c r="AE32" s="10" t="str">
        <f t="shared" si="8"/>
        <v/>
      </c>
      <c r="AF32" s="9" t="str">
        <f t="shared" si="9"/>
        <v/>
      </c>
      <c r="AG32" s="9" t="str">
        <f t="shared" si="10"/>
        <v/>
      </c>
      <c r="AH32" s="10" t="str">
        <f t="shared" si="11"/>
        <v/>
      </c>
      <c r="AI32" s="10" t="str">
        <f t="shared" si="12"/>
        <v/>
      </c>
      <c r="AJ32" s="10" t="str">
        <f t="shared" si="12"/>
        <v/>
      </c>
      <c r="AK32" s="11" t="str">
        <f t="shared" si="16"/>
        <v/>
      </c>
      <c r="AL32" s="11" t="str">
        <f t="shared" si="13"/>
        <v/>
      </c>
      <c r="AM32" s="11" t="str">
        <f t="shared" si="14"/>
        <v/>
      </c>
      <c r="AS32" s="3" t="s">
        <v>105</v>
      </c>
      <c r="AU32" s="2"/>
      <c r="AV32" s="2"/>
      <c r="AW32" s="1"/>
      <c r="AX32" s="1"/>
      <c r="AY32" s="21"/>
      <c r="AZ32" s="21"/>
    </row>
    <row r="33" spans="2:52" ht="12" customHeight="1" x14ac:dyDescent="0.3">
      <c r="B33" s="59" t="s">
        <v>12</v>
      </c>
      <c r="C33" s="60" t="s">
        <v>251</v>
      </c>
      <c r="D33" s="61">
        <v>30</v>
      </c>
      <c r="E33" s="13">
        <f>VLOOKUP(C33,Materialdata!$A$11:$B$40,2,FALSE)</f>
        <v>3.5999999999999997E-2</v>
      </c>
      <c r="F33" s="62">
        <f t="shared" si="17"/>
        <v>0.83333333333333337</v>
      </c>
      <c r="M33" s="2"/>
      <c r="Q33" s="2"/>
      <c r="S33" s="1"/>
      <c r="T33" s="1"/>
      <c r="U33" s="1"/>
      <c r="V33" s="1"/>
      <c r="W33" s="1"/>
      <c r="X33" s="18"/>
      <c r="Y33" s="1" t="str">
        <f t="shared" si="5"/>
        <v/>
      </c>
      <c r="Z33" s="13" t="str">
        <f t="shared" si="6"/>
        <v/>
      </c>
      <c r="AA33" s="13"/>
      <c r="AB33" s="1" t="str">
        <f t="shared" si="15"/>
        <v/>
      </c>
      <c r="AC33" s="13" t="str">
        <f t="shared" si="7"/>
        <v/>
      </c>
      <c r="AE33" s="10" t="str">
        <f t="shared" si="8"/>
        <v/>
      </c>
      <c r="AF33" s="9" t="str">
        <f t="shared" si="9"/>
        <v/>
      </c>
      <c r="AG33" s="9" t="str">
        <f t="shared" si="10"/>
        <v/>
      </c>
      <c r="AH33" s="10" t="str">
        <f t="shared" si="11"/>
        <v/>
      </c>
      <c r="AI33" s="10" t="str">
        <f t="shared" si="12"/>
        <v/>
      </c>
      <c r="AJ33" s="10" t="str">
        <f t="shared" si="12"/>
        <v/>
      </c>
      <c r="AK33" s="11" t="str">
        <f t="shared" si="16"/>
        <v/>
      </c>
      <c r="AL33" s="11" t="str">
        <f t="shared" si="13"/>
        <v/>
      </c>
      <c r="AM33" s="11" t="str">
        <f t="shared" si="14"/>
        <v/>
      </c>
      <c r="AU33" s="2"/>
      <c r="AV33" s="2"/>
      <c r="AW33" s="1"/>
      <c r="AX33" s="1"/>
      <c r="AY33" s="21"/>
      <c r="AZ33" s="21"/>
    </row>
    <row r="34" spans="2:52" ht="12" customHeight="1" x14ac:dyDescent="0.3">
      <c r="B34" s="59"/>
      <c r="C34" s="60"/>
      <c r="D34" s="61"/>
      <c r="E34" s="61"/>
      <c r="F34" s="62" t="str">
        <f t="shared" si="17"/>
        <v/>
      </c>
      <c r="H34" s="5" t="s">
        <v>123</v>
      </c>
      <c r="I34" s="5"/>
      <c r="K34" s="7"/>
      <c r="M34" s="2"/>
      <c r="Q34" s="2"/>
      <c r="S34" s="1"/>
      <c r="T34" s="1"/>
      <c r="U34" s="1"/>
      <c r="V34" s="1"/>
      <c r="W34" s="1"/>
      <c r="X34" s="18"/>
      <c r="Y34" s="1" t="str">
        <f t="shared" si="5"/>
        <v/>
      </c>
      <c r="Z34" s="13" t="str">
        <f t="shared" si="6"/>
        <v/>
      </c>
      <c r="AA34" s="13"/>
      <c r="AB34" s="1" t="str">
        <f t="shared" si="15"/>
        <v/>
      </c>
      <c r="AC34" s="13" t="str">
        <f t="shared" si="7"/>
        <v/>
      </c>
      <c r="AE34" s="10" t="str">
        <f t="shared" si="8"/>
        <v/>
      </c>
      <c r="AF34" s="9" t="str">
        <f t="shared" si="9"/>
        <v/>
      </c>
      <c r="AG34" s="9" t="str">
        <f t="shared" si="10"/>
        <v/>
      </c>
      <c r="AH34" s="10" t="str">
        <f t="shared" si="11"/>
        <v/>
      </c>
      <c r="AI34" s="10" t="str">
        <f t="shared" si="12"/>
        <v/>
      </c>
      <c r="AJ34" s="10" t="str">
        <f t="shared" si="12"/>
        <v/>
      </c>
      <c r="AK34" s="11" t="str">
        <f t="shared" si="16"/>
        <v/>
      </c>
      <c r="AL34" s="11" t="str">
        <f t="shared" si="13"/>
        <v/>
      </c>
      <c r="AM34" s="11" t="str">
        <f t="shared" si="14"/>
        <v/>
      </c>
      <c r="AS34" s="3" t="s">
        <v>48</v>
      </c>
      <c r="AU34" s="2"/>
      <c r="AV34" s="2"/>
      <c r="AW34" s="1"/>
      <c r="AX34" s="1"/>
      <c r="AY34" s="21"/>
      <c r="AZ34" s="21"/>
    </row>
    <row r="35" spans="2:52" ht="12" customHeight="1" x14ac:dyDescent="0.3">
      <c r="B35" s="59" t="s">
        <v>13</v>
      </c>
      <c r="C35" s="60" t="s">
        <v>270</v>
      </c>
      <c r="D35" s="61"/>
      <c r="E35" s="1" t="str">
        <f>IFERROR(IF(C343="Korrugert stålplate","",VLOOKUP(C35,Materialdata!D12:E21,2,FALSE)),"")</f>
        <v/>
      </c>
      <c r="F35" s="62">
        <f>IFERROR(IF(C35="Korrugert stålplate",0,D35/1000/E35),"")</f>
        <v>0</v>
      </c>
      <c r="H35" s="2" t="s">
        <v>185</v>
      </c>
      <c r="I35" s="2"/>
      <c r="J35" s="1"/>
      <c r="L35" s="13">
        <f>IFERROR(SUM(F30:F37)+SUM(L31:L32),"")</f>
        <v>4.4682456140350872</v>
      </c>
      <c r="M35" s="2" t="s">
        <v>11</v>
      </c>
      <c r="Q35" s="2"/>
      <c r="S35" s="1"/>
      <c r="T35" s="1"/>
      <c r="U35" s="1"/>
      <c r="V35" s="1"/>
      <c r="W35" s="1"/>
      <c r="X35" s="18"/>
      <c r="Y35" s="1" t="str">
        <f t="shared" si="5"/>
        <v/>
      </c>
      <c r="Z35" s="13" t="str">
        <f t="shared" si="6"/>
        <v/>
      </c>
      <c r="AA35" s="13"/>
      <c r="AB35" s="1" t="str">
        <f t="shared" si="15"/>
        <v/>
      </c>
      <c r="AC35" s="13" t="str">
        <f t="shared" si="7"/>
        <v/>
      </c>
      <c r="AE35" s="10" t="str">
        <f t="shared" si="8"/>
        <v/>
      </c>
      <c r="AF35" s="9" t="str">
        <f t="shared" si="9"/>
        <v/>
      </c>
      <c r="AG35" s="9" t="str">
        <f t="shared" si="10"/>
        <v/>
      </c>
      <c r="AH35" s="10" t="str">
        <f t="shared" si="11"/>
        <v/>
      </c>
      <c r="AI35" s="10" t="str">
        <f t="shared" si="12"/>
        <v/>
      </c>
      <c r="AJ35" s="10" t="str">
        <f t="shared" si="12"/>
        <v/>
      </c>
      <c r="AK35" s="11" t="str">
        <f t="shared" si="16"/>
        <v/>
      </c>
      <c r="AL35" s="11" t="str">
        <f t="shared" si="13"/>
        <v/>
      </c>
      <c r="AM35" s="11" t="str">
        <f t="shared" si="14"/>
        <v/>
      </c>
      <c r="AS35" s="3" t="s">
        <v>107</v>
      </c>
      <c r="AU35" s="2"/>
      <c r="AV35" s="2"/>
      <c r="AW35" s="1"/>
      <c r="AX35" s="1"/>
      <c r="AY35" s="21"/>
      <c r="AZ35" s="21"/>
    </row>
    <row r="36" spans="2:52" ht="12" customHeight="1" x14ac:dyDescent="0.3">
      <c r="B36" s="46" t="s">
        <v>152</v>
      </c>
      <c r="D36" s="2"/>
      <c r="E36" s="2"/>
      <c r="F36" s="64"/>
      <c r="H36" s="2" t="s">
        <v>63</v>
      </c>
      <c r="I36" s="2"/>
      <c r="J36" s="2"/>
      <c r="L36" s="13">
        <f>IFERROR(1/L35,"")</f>
        <v>0.22380148415721074</v>
      </c>
      <c r="M36" s="2" t="s">
        <v>5</v>
      </c>
      <c r="Q36" s="2"/>
      <c r="S36" s="1"/>
      <c r="T36" s="1"/>
      <c r="U36" s="1"/>
      <c r="V36" s="1"/>
      <c r="W36" s="1"/>
      <c r="X36" s="18"/>
      <c r="Y36" s="1" t="str">
        <f t="shared" si="5"/>
        <v/>
      </c>
      <c r="Z36" s="13" t="str">
        <f t="shared" si="6"/>
        <v/>
      </c>
      <c r="AA36" s="13"/>
      <c r="AB36" s="1" t="str">
        <f t="shared" si="15"/>
        <v/>
      </c>
      <c r="AC36" s="13" t="str">
        <f t="shared" si="7"/>
        <v/>
      </c>
      <c r="AE36" s="10" t="str">
        <f t="shared" si="8"/>
        <v/>
      </c>
      <c r="AF36" s="9" t="str">
        <f t="shared" si="9"/>
        <v/>
      </c>
      <c r="AG36" s="9" t="str">
        <f t="shared" si="10"/>
        <v/>
      </c>
      <c r="AH36" s="10" t="str">
        <f t="shared" si="11"/>
        <v/>
      </c>
      <c r="AI36" s="10" t="str">
        <f t="shared" si="12"/>
        <v/>
      </c>
      <c r="AJ36" s="10" t="str">
        <f t="shared" si="12"/>
        <v/>
      </c>
      <c r="AK36" s="11" t="str">
        <f t="shared" si="16"/>
        <v/>
      </c>
      <c r="AL36" s="11" t="str">
        <f t="shared" si="13"/>
        <v/>
      </c>
      <c r="AM36" s="11" t="str">
        <f t="shared" si="14"/>
        <v/>
      </c>
      <c r="AS36" s="3" t="s">
        <v>108</v>
      </c>
    </row>
    <row r="37" spans="2:52" s="7" customFormat="1" ht="12" customHeight="1" thickBot="1" x14ac:dyDescent="0.35">
      <c r="B37" s="50" t="s">
        <v>239</v>
      </c>
      <c r="C37" s="51"/>
      <c r="D37" s="51"/>
      <c r="E37" s="51"/>
      <c r="F37" s="74"/>
      <c r="G37" s="3"/>
      <c r="N37" s="3"/>
      <c r="O37" s="3"/>
      <c r="P37" s="3"/>
      <c r="Q37" s="2"/>
      <c r="R37" s="2"/>
      <c r="S37" s="2"/>
      <c r="T37" s="2"/>
      <c r="U37" s="3"/>
      <c r="V37" s="3"/>
      <c r="W37" s="3"/>
      <c r="X37" s="18"/>
      <c r="Y37" s="3"/>
      <c r="Z37" s="3"/>
      <c r="AA37" s="3"/>
      <c r="AB37" s="3"/>
      <c r="AC37" s="1"/>
      <c r="AD37" s="3"/>
      <c r="AE37" s="3"/>
      <c r="AF37" s="3"/>
      <c r="AG37" s="3"/>
      <c r="AH37" s="3"/>
      <c r="AI37" s="3"/>
      <c r="AJ37" s="3"/>
      <c r="AK37" s="3"/>
      <c r="AL37" s="3"/>
      <c r="AM37" s="3"/>
      <c r="AO37" s="3"/>
      <c r="AS37" s="3" t="s">
        <v>49</v>
      </c>
    </row>
    <row r="38" spans="2:52" ht="12" customHeight="1" thickBot="1" x14ac:dyDescent="0.35">
      <c r="H38" s="2" t="s">
        <v>117</v>
      </c>
      <c r="I38" s="2"/>
      <c r="J38" s="2"/>
      <c r="K38" s="3" t="s">
        <v>275</v>
      </c>
      <c r="L38" s="13">
        <f>IFERROR(E14,"")</f>
        <v>0.13922358480141267</v>
      </c>
      <c r="M38" s="2" t="s">
        <v>5</v>
      </c>
      <c r="Q38" s="108"/>
      <c r="R38" s="3"/>
      <c r="X38" s="18"/>
      <c r="AC38" s="1"/>
      <c r="AS38" s="3" t="s">
        <v>106</v>
      </c>
    </row>
    <row r="39" spans="2:52" ht="12" customHeight="1" x14ac:dyDescent="0.3">
      <c r="B39" s="54" t="s">
        <v>233</v>
      </c>
      <c r="C39" s="55"/>
      <c r="D39" s="55"/>
      <c r="E39" s="44"/>
      <c r="F39" s="45"/>
      <c r="Q39" s="2"/>
      <c r="R39" s="3"/>
      <c r="T39" s="1"/>
      <c r="U39" s="47"/>
      <c r="V39" s="47"/>
      <c r="W39" s="47"/>
      <c r="X39" s="18"/>
      <c r="AC39" s="1"/>
    </row>
    <row r="40" spans="2:52" ht="12" customHeight="1" x14ac:dyDescent="0.3">
      <c r="B40" s="112" t="s">
        <v>188</v>
      </c>
      <c r="C40" s="3"/>
      <c r="D40" s="113" t="s">
        <v>193</v>
      </c>
      <c r="F40" s="63"/>
      <c r="I40" s="2" t="s">
        <v>271</v>
      </c>
      <c r="Q40" s="2"/>
      <c r="R40" s="3"/>
      <c r="T40" s="1"/>
      <c r="U40" s="107"/>
      <c r="V40" s="107"/>
      <c r="W40" s="107"/>
      <c r="X40" s="18"/>
      <c r="AC40" s="1"/>
    </row>
    <row r="41" spans="2:52" ht="12" customHeight="1" x14ac:dyDescent="0.3">
      <c r="B41" s="112" t="s">
        <v>189</v>
      </c>
      <c r="C41" s="3"/>
      <c r="D41" s="61" t="s">
        <v>66</v>
      </c>
      <c r="F41" s="63"/>
      <c r="H41" s="2" t="s">
        <v>236</v>
      </c>
      <c r="I41" s="2"/>
      <c r="J41" s="2"/>
      <c r="L41" s="13">
        <f>IFERROR(1/(L35+L46/1000/$D$47),"")</f>
        <v>0.13422118911900105</v>
      </c>
      <c r="M41" s="2" t="s">
        <v>5</v>
      </c>
      <c r="R41" s="3"/>
      <c r="T41" s="1"/>
      <c r="U41" s="107"/>
      <c r="V41" s="107"/>
      <c r="W41" s="107"/>
      <c r="X41" s="18"/>
    </row>
    <row r="42" spans="2:52" ht="12" customHeight="1" x14ac:dyDescent="0.3">
      <c r="B42" s="112" t="s">
        <v>191</v>
      </c>
      <c r="C42" s="3"/>
      <c r="D42" s="104">
        <v>20</v>
      </c>
      <c r="E42" s="2" t="s">
        <v>6</v>
      </c>
      <c r="F42" s="49"/>
      <c r="H42" s="2" t="s">
        <v>272</v>
      </c>
      <c r="I42" s="2"/>
      <c r="L42" s="15">
        <f>IFERROR((L41-L38)/L38*100,"")</f>
        <v>-3.5930662822301223</v>
      </c>
      <c r="M42" s="2" t="s">
        <v>118</v>
      </c>
      <c r="R42" s="3"/>
      <c r="T42" s="1"/>
      <c r="U42" s="21"/>
      <c r="V42" s="21"/>
      <c r="W42" s="21"/>
      <c r="X42" s="18"/>
    </row>
    <row r="43" spans="2:52" ht="12" customHeight="1" x14ac:dyDescent="0.3">
      <c r="B43" s="112" t="s">
        <v>190</v>
      </c>
      <c r="C43" s="3"/>
      <c r="D43" s="104">
        <v>13.5</v>
      </c>
      <c r="E43" s="2" t="s">
        <v>6</v>
      </c>
      <c r="F43" s="49"/>
      <c r="H43" s="2" t="s">
        <v>273</v>
      </c>
      <c r="I43" s="2"/>
      <c r="L43" s="15">
        <f>IFERROR(-(1/L41-1/L38)*$D$47*1000,"")</f>
        <v>-9.3694088618569378</v>
      </c>
      <c r="M43" s="2" t="s">
        <v>9</v>
      </c>
      <c r="T43" s="1"/>
      <c r="U43" s="21"/>
      <c r="V43" s="21"/>
      <c r="X43" s="21"/>
    </row>
    <row r="44" spans="2:52" ht="12" customHeight="1" x14ac:dyDescent="0.3">
      <c r="B44" s="112" t="s">
        <v>192</v>
      </c>
      <c r="C44" s="3"/>
      <c r="D44" s="104">
        <v>0</v>
      </c>
      <c r="E44" s="2" t="s">
        <v>6</v>
      </c>
      <c r="F44" s="49"/>
      <c r="H44" s="2" t="s">
        <v>274</v>
      </c>
      <c r="I44" s="2"/>
      <c r="L44" s="15">
        <f>IFERROR(L43*E24/1000,"")</f>
        <v>-2.5297403927013735</v>
      </c>
      <c r="M44" s="2" t="s">
        <v>7</v>
      </c>
      <c r="T44" s="1"/>
      <c r="U44" s="1"/>
      <c r="V44" s="1"/>
    </row>
    <row r="45" spans="2:52" ht="12" customHeight="1" x14ac:dyDescent="0.3">
      <c r="B45" s="112" t="s">
        <v>199</v>
      </c>
      <c r="C45" s="3"/>
      <c r="D45" s="61">
        <v>20</v>
      </c>
      <c r="E45" s="2" t="s">
        <v>9</v>
      </c>
      <c r="F45" s="49"/>
      <c r="Q45" s="109"/>
    </row>
    <row r="46" spans="2:52" ht="12" customHeight="1" x14ac:dyDescent="0.3">
      <c r="B46" s="46" t="s">
        <v>276</v>
      </c>
      <c r="D46" s="61" t="s">
        <v>250</v>
      </c>
      <c r="F46" s="49"/>
      <c r="H46" s="2" t="s">
        <v>116</v>
      </c>
      <c r="I46" s="2"/>
      <c r="J46" s="2"/>
      <c r="L46" s="21">
        <f>IFERROR(E19/E24*1000,"")</f>
        <v>104.375</v>
      </c>
      <c r="M46" s="2" t="s">
        <v>9</v>
      </c>
    </row>
    <row r="47" spans="2:52" ht="12" customHeight="1" thickBot="1" x14ac:dyDescent="0.35">
      <c r="B47" s="114" t="s">
        <v>196</v>
      </c>
      <c r="C47" s="115"/>
      <c r="D47" s="136">
        <f>VLOOKUP(D46,Materialdata!$A$11:$B$40,2,FALSE)</f>
        <v>3.5000000000000003E-2</v>
      </c>
      <c r="E47" s="51" t="s">
        <v>10</v>
      </c>
      <c r="F47" s="134"/>
    </row>
    <row r="48" spans="2:52" ht="12" customHeight="1" x14ac:dyDescent="0.3">
      <c r="B48" s="3"/>
      <c r="C48" s="3"/>
    </row>
    <row r="49" spans="2:25" ht="12" customHeight="1" x14ac:dyDescent="0.3">
      <c r="B49" s="3"/>
      <c r="C49" s="3"/>
    </row>
    <row r="50" spans="2:25" ht="12" customHeight="1" x14ac:dyDescent="0.3">
      <c r="B50" s="3"/>
      <c r="C50" s="3"/>
    </row>
    <row r="51" spans="2:25" ht="12" customHeight="1" x14ac:dyDescent="0.3">
      <c r="B51" s="3"/>
      <c r="C51" s="3"/>
    </row>
    <row r="52" spans="2:25" ht="12" customHeight="1" x14ac:dyDescent="0.3">
      <c r="B52" s="3"/>
      <c r="C52" s="3"/>
    </row>
    <row r="53" spans="2:25" x14ac:dyDescent="0.3">
      <c r="B53" s="3"/>
      <c r="C53" s="3"/>
      <c r="R53" s="3"/>
    </row>
    <row r="54" spans="2:25" x14ac:dyDescent="0.3">
      <c r="B54" s="3"/>
      <c r="C54" s="3"/>
      <c r="R54" s="3"/>
      <c r="Y54" s="27"/>
    </row>
    <row r="55" spans="2:25" x14ac:dyDescent="0.3">
      <c r="B55" s="3"/>
      <c r="C55" s="3"/>
      <c r="G55" s="15"/>
      <c r="H55" s="15"/>
      <c r="I55" s="15"/>
      <c r="J55" s="15"/>
      <c r="K55" s="15"/>
      <c r="L55" s="15"/>
      <c r="M55" s="15"/>
      <c r="N55" s="15"/>
      <c r="R55" s="3"/>
    </row>
    <row r="56" spans="2:25" x14ac:dyDescent="0.3">
      <c r="R56" s="3"/>
    </row>
    <row r="57" spans="2:25" x14ac:dyDescent="0.3">
      <c r="R57" s="3"/>
    </row>
    <row r="58" spans="2:25" x14ac:dyDescent="0.3">
      <c r="R58" s="3"/>
    </row>
    <row r="67" spans="2:24" x14ac:dyDescent="0.3"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2:24" x14ac:dyDescent="0.3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70" spans="2:24" x14ac:dyDescent="0.3">
      <c r="B70" s="3"/>
      <c r="C70" s="3"/>
      <c r="R70" s="3"/>
      <c r="V70" s="7"/>
      <c r="W70" s="7"/>
      <c r="X70" s="7"/>
    </row>
    <row r="71" spans="2:24" x14ac:dyDescent="0.3">
      <c r="B71" s="3"/>
      <c r="C71" s="3"/>
    </row>
    <row r="72" spans="2:24" x14ac:dyDescent="0.3">
      <c r="B72" s="3"/>
      <c r="C72" s="3"/>
    </row>
    <row r="73" spans="2:24" x14ac:dyDescent="0.3">
      <c r="B73" s="3"/>
      <c r="C73" s="3"/>
    </row>
    <row r="80" spans="2:24" x14ac:dyDescent="0.3">
      <c r="R80" s="3"/>
    </row>
    <row r="81" spans="2:18" x14ac:dyDescent="0.3">
      <c r="B81" s="3"/>
      <c r="C81" s="3"/>
      <c r="R81" s="3"/>
    </row>
    <row r="82" spans="2:18" x14ac:dyDescent="0.3">
      <c r="R82" s="3"/>
    </row>
    <row r="83" spans="2:18" x14ac:dyDescent="0.3">
      <c r="R83" s="3"/>
    </row>
    <row r="84" spans="2:18" x14ac:dyDescent="0.3">
      <c r="R84" s="3"/>
    </row>
    <row r="85" spans="2:18" x14ac:dyDescent="0.3">
      <c r="R85" s="3"/>
    </row>
    <row r="86" spans="2:18" x14ac:dyDescent="0.3">
      <c r="R86" s="3"/>
    </row>
    <row r="87" spans="2:18" x14ac:dyDescent="0.3">
      <c r="R87" s="3"/>
    </row>
    <row r="88" spans="2:18" x14ac:dyDescent="0.3">
      <c r="R88" s="3"/>
    </row>
  </sheetData>
  <sheetProtection sheet="1" selectLockedCells="1"/>
  <mergeCells count="2">
    <mergeCell ref="AY28:AZ28"/>
    <mergeCell ref="C11:F11"/>
  </mergeCells>
  <dataValidations count="2">
    <dataValidation type="list" allowBlank="1" showInputMessage="1" showErrorMessage="1" sqref="D40" xr:uid="{00000000-0002-0000-0200-000000000000}">
      <formula1>$AS$12:$AS$13</formula1>
    </dataValidation>
    <dataValidation type="list" allowBlank="1" showInputMessage="1" showErrorMessage="1" sqref="D41" xr:uid="{00000000-0002-0000-0200-000001000000}">
      <formula1>$AS$15:$AS$18</formula1>
    </dataValidation>
  </dataValidations>
  <pageMargins left="0.74803149606299213" right="0.23622047244094491" top="0.94488188976377963" bottom="0.39370078740157483" header="0.51181102362204722" footer="0.31496062992125984"/>
  <pageSetup paperSize="9" orientation="portrait" r:id="rId1"/>
  <headerFooter>
    <oddHeader>&amp;CUtviklet av SINTEF for EPS-gruppen</oddHeader>
    <oddFooter>&amp;C
side &amp;P av &amp;N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2000000}">
          <x14:formula1>
            <xm:f>Materialdata!$G$12:$G$20</xm:f>
          </x14:formula1>
          <xm:sqref>D44</xm:sqref>
        </x14:dataValidation>
        <x14:dataValidation type="list" allowBlank="1" showInputMessage="1" showErrorMessage="1" xr:uid="{00000000-0002-0000-0200-000003000000}">
          <x14:formula1>
            <xm:f>Materialdata!$A$11:$A$40</xm:f>
          </x14:formula1>
          <xm:sqref>C31:C33 D46</xm:sqref>
        </x14:dataValidation>
        <x14:dataValidation type="list" allowBlank="1" showInputMessage="1" showErrorMessage="1" xr:uid="{00000000-0002-0000-0200-000004000000}">
          <x14:formula1>
            <xm:f>Materialdata!$D$11:$D$20</xm:f>
          </x14:formula1>
          <xm:sqref>C35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3"/>
  <dimension ref="A1:G40"/>
  <sheetViews>
    <sheetView zoomScale="80" zoomScaleNormal="80" workbookViewId="0">
      <selection activeCell="A11" sqref="A11"/>
    </sheetView>
  </sheetViews>
  <sheetFormatPr baseColWidth="10" defaultColWidth="20.6640625" defaultRowHeight="14.4" x14ac:dyDescent="0.3"/>
  <cols>
    <col min="1" max="1" width="25.5546875" customWidth="1"/>
    <col min="2" max="2" width="20.6640625" style="122"/>
  </cols>
  <sheetData>
    <row r="1" spans="1:7" ht="15.6" x14ac:dyDescent="0.35">
      <c r="A1" t="s">
        <v>245</v>
      </c>
    </row>
    <row r="2" spans="1:7" x14ac:dyDescent="0.3">
      <c r="A2" t="s">
        <v>240</v>
      </c>
    </row>
    <row r="3" spans="1:7" x14ac:dyDescent="0.3">
      <c r="A3" t="s">
        <v>241</v>
      </c>
    </row>
    <row r="5" spans="1:7" x14ac:dyDescent="0.3">
      <c r="A5" t="s">
        <v>289</v>
      </c>
      <c r="B5" s="121" t="s">
        <v>290</v>
      </c>
    </row>
    <row r="6" spans="1:7" x14ac:dyDescent="0.3">
      <c r="A6" t="s">
        <v>39</v>
      </c>
      <c r="B6" s="137">
        <v>43074</v>
      </c>
    </row>
    <row r="8" spans="1:7" x14ac:dyDescent="0.3">
      <c r="A8" t="s">
        <v>266</v>
      </c>
      <c r="B8" s="122" t="s">
        <v>242</v>
      </c>
      <c r="D8" t="s">
        <v>13</v>
      </c>
      <c r="E8" s="122" t="s">
        <v>242</v>
      </c>
      <c r="G8" s="122" t="s">
        <v>192</v>
      </c>
    </row>
    <row r="9" spans="1:7" ht="15.6" x14ac:dyDescent="0.35">
      <c r="A9" t="s">
        <v>267</v>
      </c>
      <c r="B9" s="122" t="s">
        <v>243</v>
      </c>
      <c r="E9" s="122" t="s">
        <v>243</v>
      </c>
      <c r="G9" s="122"/>
    </row>
    <row r="10" spans="1:7" x14ac:dyDescent="0.3">
      <c r="B10" s="122" t="s">
        <v>10</v>
      </c>
      <c r="E10" s="122" t="s">
        <v>10</v>
      </c>
      <c r="G10" s="122" t="s">
        <v>6</v>
      </c>
    </row>
    <row r="11" spans="1:7" x14ac:dyDescent="0.3">
      <c r="A11" s="119" t="s">
        <v>255</v>
      </c>
      <c r="B11" s="120">
        <v>3.1E-2</v>
      </c>
      <c r="D11" t="s">
        <v>270</v>
      </c>
      <c r="E11" s="123"/>
      <c r="G11" s="122"/>
    </row>
    <row r="12" spans="1:7" x14ac:dyDescent="0.3">
      <c r="A12" s="119" t="s">
        <v>256</v>
      </c>
      <c r="B12" s="120">
        <v>3.2000000000000001E-2</v>
      </c>
      <c r="D12" s="119" t="s">
        <v>268</v>
      </c>
      <c r="E12" s="120">
        <v>2.5</v>
      </c>
      <c r="G12" s="135">
        <v>0</v>
      </c>
    </row>
    <row r="13" spans="1:7" x14ac:dyDescent="0.3">
      <c r="A13" s="119" t="s">
        <v>254</v>
      </c>
      <c r="B13" s="120">
        <v>3.3000000000000002E-2</v>
      </c>
      <c r="D13" s="119" t="s">
        <v>269</v>
      </c>
      <c r="E13" s="120">
        <v>0.13</v>
      </c>
      <c r="G13" s="135">
        <v>0.3</v>
      </c>
    </row>
    <row r="14" spans="1:7" x14ac:dyDescent="0.3">
      <c r="A14" s="119" t="s">
        <v>257</v>
      </c>
      <c r="B14" s="120">
        <v>3.4000000000000002E-2</v>
      </c>
      <c r="D14" s="119"/>
      <c r="E14" s="120"/>
      <c r="G14" s="135">
        <v>0.4</v>
      </c>
    </row>
    <row r="15" spans="1:7" x14ac:dyDescent="0.3">
      <c r="A15" s="119" t="s">
        <v>258</v>
      </c>
      <c r="B15" s="120">
        <v>3.5000000000000003E-2</v>
      </c>
      <c r="D15" s="119"/>
      <c r="E15" s="120"/>
      <c r="G15" s="135">
        <v>0.5</v>
      </c>
    </row>
    <row r="16" spans="1:7" x14ac:dyDescent="0.3">
      <c r="A16" s="119" t="s">
        <v>259</v>
      </c>
      <c r="B16" s="120">
        <v>3.5999999999999997E-2</v>
      </c>
      <c r="D16" s="119"/>
      <c r="E16" s="120"/>
      <c r="G16" s="135">
        <v>0.6</v>
      </c>
    </row>
    <row r="17" spans="1:7" x14ac:dyDescent="0.3">
      <c r="A17" s="119" t="s">
        <v>260</v>
      </c>
      <c r="B17" s="120">
        <v>3.6999999999999998E-2</v>
      </c>
      <c r="D17" s="119"/>
      <c r="E17" s="120"/>
      <c r="G17" s="135">
        <v>0.8</v>
      </c>
    </row>
    <row r="18" spans="1:7" x14ac:dyDescent="0.3">
      <c r="A18" s="119" t="s">
        <v>261</v>
      </c>
      <c r="B18" s="120">
        <v>3.7999999999999999E-2</v>
      </c>
      <c r="D18" s="119"/>
      <c r="E18" s="120"/>
      <c r="G18" s="135">
        <v>1</v>
      </c>
    </row>
    <row r="19" spans="1:7" x14ac:dyDescent="0.3">
      <c r="A19" s="119" t="s">
        <v>262</v>
      </c>
      <c r="B19" s="120">
        <v>3.9E-2</v>
      </c>
      <c r="D19" s="119"/>
      <c r="E19" s="120"/>
      <c r="G19" s="135">
        <v>1.2</v>
      </c>
    </row>
    <row r="20" spans="1:7" x14ac:dyDescent="0.3">
      <c r="A20" s="119" t="s">
        <v>263</v>
      </c>
      <c r="B20" s="120">
        <v>0.04</v>
      </c>
      <c r="D20" s="119"/>
      <c r="E20" s="120"/>
      <c r="G20" s="135"/>
    </row>
    <row r="21" spans="1:7" x14ac:dyDescent="0.3">
      <c r="A21" s="119" t="s">
        <v>264</v>
      </c>
      <c r="B21" s="120">
        <v>3.1E-2</v>
      </c>
    </row>
    <row r="22" spans="1:7" x14ac:dyDescent="0.3">
      <c r="A22" s="119" t="s">
        <v>265</v>
      </c>
      <c r="B22" s="120">
        <v>3.2000000000000001E-2</v>
      </c>
    </row>
    <row r="23" spans="1:7" x14ac:dyDescent="0.3">
      <c r="A23" s="119" t="s">
        <v>253</v>
      </c>
      <c r="B23" s="120">
        <v>3.3000000000000002E-2</v>
      </c>
    </row>
    <row r="24" spans="1:7" x14ac:dyDescent="0.3">
      <c r="A24" s="119" t="s">
        <v>249</v>
      </c>
      <c r="B24" s="120">
        <v>3.4000000000000002E-2</v>
      </c>
    </row>
    <row r="25" spans="1:7" x14ac:dyDescent="0.3">
      <c r="A25" s="119" t="s">
        <v>250</v>
      </c>
      <c r="B25" s="120">
        <v>3.5000000000000003E-2</v>
      </c>
    </row>
    <row r="26" spans="1:7" x14ac:dyDescent="0.3">
      <c r="A26" s="119" t="s">
        <v>251</v>
      </c>
      <c r="B26" s="120">
        <v>3.5999999999999997E-2</v>
      </c>
    </row>
    <row r="27" spans="1:7" x14ac:dyDescent="0.3">
      <c r="A27" s="119" t="s">
        <v>252</v>
      </c>
      <c r="B27" s="120">
        <v>3.6999999999999998E-2</v>
      </c>
    </row>
    <row r="28" spans="1:7" x14ac:dyDescent="0.3">
      <c r="A28" s="119" t="s">
        <v>246</v>
      </c>
      <c r="B28" s="120">
        <v>3.7999999999999999E-2</v>
      </c>
    </row>
    <row r="29" spans="1:7" x14ac:dyDescent="0.3">
      <c r="A29" s="119" t="s">
        <v>247</v>
      </c>
      <c r="B29" s="120">
        <v>3.9E-2</v>
      </c>
    </row>
    <row r="30" spans="1:7" x14ac:dyDescent="0.3">
      <c r="A30" s="119" t="s">
        <v>248</v>
      </c>
      <c r="B30" s="120">
        <v>0.04</v>
      </c>
    </row>
    <row r="31" spans="1:7" x14ac:dyDescent="0.3">
      <c r="A31" s="119"/>
      <c r="B31" s="121"/>
    </row>
    <row r="32" spans="1:7" x14ac:dyDescent="0.3">
      <c r="A32" s="119"/>
      <c r="B32" s="121"/>
    </row>
    <row r="33" spans="1:2" x14ac:dyDescent="0.3">
      <c r="A33" s="119"/>
      <c r="B33" s="121"/>
    </row>
    <row r="34" spans="1:2" x14ac:dyDescent="0.3">
      <c r="A34" s="119"/>
      <c r="B34" s="121"/>
    </row>
    <row r="35" spans="1:2" x14ac:dyDescent="0.3">
      <c r="A35" s="119"/>
      <c r="B35" s="121"/>
    </row>
    <row r="36" spans="1:2" x14ac:dyDescent="0.3">
      <c r="A36" s="119"/>
      <c r="B36" s="121"/>
    </row>
    <row r="37" spans="1:2" x14ac:dyDescent="0.3">
      <c r="A37" s="119"/>
      <c r="B37" s="121"/>
    </row>
    <row r="38" spans="1:2" x14ac:dyDescent="0.3">
      <c r="A38" s="119"/>
      <c r="B38" s="121"/>
    </row>
    <row r="39" spans="1:2" x14ac:dyDescent="0.3">
      <c r="A39" s="119"/>
      <c r="B39" s="121"/>
    </row>
    <row r="40" spans="1:2" x14ac:dyDescent="0.3">
      <c r="A40" s="119"/>
      <c r="B40" s="121"/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4"/>
  <dimension ref="B1:N131"/>
  <sheetViews>
    <sheetView zoomScale="80" zoomScaleNormal="80" workbookViewId="0"/>
  </sheetViews>
  <sheetFormatPr baseColWidth="10" defaultColWidth="8.88671875" defaultRowHeight="14.4" x14ac:dyDescent="0.3"/>
  <cols>
    <col min="1" max="1" width="10.88671875" customWidth="1"/>
  </cols>
  <sheetData>
    <row r="1" spans="2:14" x14ac:dyDescent="0.3">
      <c r="B1" s="95" t="s">
        <v>200</v>
      </c>
      <c r="M1" t="s">
        <v>288</v>
      </c>
    </row>
    <row r="2" spans="2:14" x14ac:dyDescent="0.3">
      <c r="B2" s="95"/>
    </row>
    <row r="3" spans="2:14" x14ac:dyDescent="0.3">
      <c r="B3" t="s">
        <v>203</v>
      </c>
    </row>
    <row r="4" spans="2:14" ht="15" thickBot="1" x14ac:dyDescent="0.35"/>
    <row r="5" spans="2:14" x14ac:dyDescent="0.3">
      <c r="B5" s="87" t="s">
        <v>202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9"/>
    </row>
    <row r="6" spans="2:14" x14ac:dyDescent="0.3">
      <c r="B6" s="97" t="s">
        <v>201</v>
      </c>
      <c r="N6" s="91"/>
    </row>
    <row r="7" spans="2:14" x14ac:dyDescent="0.3">
      <c r="B7" s="97" t="s">
        <v>204</v>
      </c>
      <c r="N7" s="91"/>
    </row>
    <row r="8" spans="2:14" x14ac:dyDescent="0.3">
      <c r="B8" s="90" t="s">
        <v>225</v>
      </c>
      <c r="N8" s="91"/>
    </row>
    <row r="9" spans="2:14" ht="15" thickBot="1" x14ac:dyDescent="0.35">
      <c r="B9" s="92" t="s">
        <v>226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4"/>
    </row>
    <row r="10" spans="2:14" x14ac:dyDescent="0.3">
      <c r="B10" s="96"/>
    </row>
    <row r="11" spans="2:14" x14ac:dyDescent="0.3">
      <c r="B11" t="s">
        <v>213</v>
      </c>
    </row>
    <row r="13" spans="2:14" x14ac:dyDescent="0.3">
      <c r="B13" t="s">
        <v>147</v>
      </c>
    </row>
    <row r="14" spans="2:14" x14ac:dyDescent="0.3">
      <c r="B14" t="s">
        <v>148</v>
      </c>
    </row>
    <row r="16" spans="2:14" x14ac:dyDescent="0.3">
      <c r="B16" t="s">
        <v>205</v>
      </c>
    </row>
    <row r="17" spans="2:6" x14ac:dyDescent="0.3">
      <c r="B17" t="s">
        <v>277</v>
      </c>
      <c r="F17" s="31"/>
    </row>
    <row r="18" spans="2:6" x14ac:dyDescent="0.3">
      <c r="B18" s="28" t="s">
        <v>279</v>
      </c>
    </row>
    <row r="19" spans="2:6" x14ac:dyDescent="0.3">
      <c r="B19" t="s">
        <v>281</v>
      </c>
    </row>
    <row r="20" spans="2:6" x14ac:dyDescent="0.3">
      <c r="B20" t="s">
        <v>280</v>
      </c>
    </row>
    <row r="21" spans="2:6" x14ac:dyDescent="0.3">
      <c r="B21" t="s">
        <v>206</v>
      </c>
    </row>
    <row r="22" spans="2:6" x14ac:dyDescent="0.3">
      <c r="B22" t="s">
        <v>98</v>
      </c>
    </row>
    <row r="23" spans="2:6" x14ac:dyDescent="0.3">
      <c r="B23" t="s">
        <v>103</v>
      </c>
    </row>
    <row r="25" spans="2:6" x14ac:dyDescent="0.3">
      <c r="B25" s="95" t="s">
        <v>207</v>
      </c>
    </row>
    <row r="27" spans="2:6" x14ac:dyDescent="0.3">
      <c r="B27" t="s">
        <v>140</v>
      </c>
    </row>
    <row r="28" spans="2:6" x14ac:dyDescent="0.3">
      <c r="B28" t="s">
        <v>125</v>
      </c>
    </row>
    <row r="29" spans="2:6" x14ac:dyDescent="0.3">
      <c r="B29" t="s">
        <v>141</v>
      </c>
    </row>
    <row r="30" spans="2:6" x14ac:dyDescent="0.3">
      <c r="B30" t="s">
        <v>208</v>
      </c>
    </row>
    <row r="31" spans="2:6" x14ac:dyDescent="0.3">
      <c r="B31" s="28" t="s">
        <v>126</v>
      </c>
    </row>
    <row r="32" spans="2:6" x14ac:dyDescent="0.3">
      <c r="B32" t="s">
        <v>142</v>
      </c>
    </row>
    <row r="33" spans="2:2" x14ac:dyDescent="0.3">
      <c r="B33" s="28" t="s">
        <v>278</v>
      </c>
    </row>
    <row r="34" spans="2:2" x14ac:dyDescent="0.3">
      <c r="B34" t="s">
        <v>282</v>
      </c>
    </row>
    <row r="35" spans="2:2" x14ac:dyDescent="0.3">
      <c r="B35" s="28" t="s">
        <v>143</v>
      </c>
    </row>
    <row r="36" spans="2:2" x14ac:dyDescent="0.3">
      <c r="B36" s="28" t="s">
        <v>286</v>
      </c>
    </row>
    <row r="37" spans="2:2" x14ac:dyDescent="0.3">
      <c r="B37" s="28" t="s">
        <v>284</v>
      </c>
    </row>
    <row r="38" spans="2:2" x14ac:dyDescent="0.3">
      <c r="B38" t="s">
        <v>283</v>
      </c>
    </row>
    <row r="39" spans="2:2" x14ac:dyDescent="0.3">
      <c r="B39" s="28" t="s">
        <v>285</v>
      </c>
    </row>
    <row r="40" spans="2:2" x14ac:dyDescent="0.3">
      <c r="B40" s="28" t="s">
        <v>144</v>
      </c>
    </row>
    <row r="41" spans="2:2" x14ac:dyDescent="0.3">
      <c r="B41" t="s">
        <v>209</v>
      </c>
    </row>
    <row r="43" spans="2:2" x14ac:dyDescent="0.3">
      <c r="B43" t="s">
        <v>145</v>
      </c>
    </row>
    <row r="44" spans="2:2" x14ac:dyDescent="0.3">
      <c r="B44" t="s">
        <v>146</v>
      </c>
    </row>
    <row r="46" spans="2:2" x14ac:dyDescent="0.3">
      <c r="B46" s="28" t="s">
        <v>51</v>
      </c>
    </row>
    <row r="47" spans="2:2" x14ac:dyDescent="0.3">
      <c r="B47" t="s">
        <v>210</v>
      </c>
    </row>
    <row r="48" spans="2:2" x14ac:dyDescent="0.3">
      <c r="B48" t="s">
        <v>147</v>
      </c>
    </row>
    <row r="49" spans="2:2" x14ac:dyDescent="0.3">
      <c r="B49" t="s">
        <v>148</v>
      </c>
    </row>
    <row r="50" spans="2:2" x14ac:dyDescent="0.3">
      <c r="B50" t="s">
        <v>127</v>
      </c>
    </row>
    <row r="51" spans="2:2" x14ac:dyDescent="0.3">
      <c r="B51" t="s">
        <v>128</v>
      </c>
    </row>
    <row r="52" spans="2:2" x14ac:dyDescent="0.3">
      <c r="B52" t="s">
        <v>211</v>
      </c>
    </row>
    <row r="53" spans="2:2" x14ac:dyDescent="0.3">
      <c r="B53" t="s">
        <v>212</v>
      </c>
    </row>
    <row r="54" spans="2:2" x14ac:dyDescent="0.3">
      <c r="B54" t="s">
        <v>130</v>
      </c>
    </row>
    <row r="55" spans="2:2" x14ac:dyDescent="0.3">
      <c r="B55" t="s">
        <v>129</v>
      </c>
    </row>
    <row r="56" spans="2:2" x14ac:dyDescent="0.3">
      <c r="B56" s="28" t="s">
        <v>149</v>
      </c>
    </row>
    <row r="57" spans="2:2" x14ac:dyDescent="0.3">
      <c r="B57" s="28" t="s">
        <v>99</v>
      </c>
    </row>
    <row r="58" spans="2:2" x14ac:dyDescent="0.3">
      <c r="B58" t="s">
        <v>214</v>
      </c>
    </row>
    <row r="59" spans="2:2" x14ac:dyDescent="0.3">
      <c r="B59" t="s">
        <v>131</v>
      </c>
    </row>
    <row r="60" spans="2:2" x14ac:dyDescent="0.3">
      <c r="B60" t="s">
        <v>217</v>
      </c>
    </row>
    <row r="61" spans="2:2" x14ac:dyDescent="0.3">
      <c r="B61" t="s">
        <v>215</v>
      </c>
    </row>
    <row r="62" spans="2:2" x14ac:dyDescent="0.3">
      <c r="B62" t="s">
        <v>216</v>
      </c>
    </row>
    <row r="63" spans="2:2" x14ac:dyDescent="0.3">
      <c r="B63" t="s">
        <v>287</v>
      </c>
    </row>
    <row r="64" spans="2:2" x14ac:dyDescent="0.3">
      <c r="B64" t="s">
        <v>223</v>
      </c>
    </row>
    <row r="66" spans="2:2" x14ac:dyDescent="0.3">
      <c r="B66" t="s">
        <v>150</v>
      </c>
    </row>
    <row r="67" spans="2:2" x14ac:dyDescent="0.3">
      <c r="B67" s="28" t="s">
        <v>151</v>
      </c>
    </row>
    <row r="68" spans="2:2" x14ac:dyDescent="0.3">
      <c r="B68" t="s">
        <v>132</v>
      </c>
    </row>
    <row r="69" spans="2:2" x14ac:dyDescent="0.3">
      <c r="B69" t="s">
        <v>133</v>
      </c>
    </row>
    <row r="70" spans="2:2" x14ac:dyDescent="0.3">
      <c r="B70" t="s">
        <v>102</v>
      </c>
    </row>
    <row r="71" spans="2:2" x14ac:dyDescent="0.3">
      <c r="B71" t="s">
        <v>218</v>
      </c>
    </row>
    <row r="72" spans="2:2" x14ac:dyDescent="0.3">
      <c r="B72" t="s">
        <v>219</v>
      </c>
    </row>
    <row r="73" spans="2:2" x14ac:dyDescent="0.3">
      <c r="B73" t="s">
        <v>134</v>
      </c>
    </row>
    <row r="74" spans="2:2" x14ac:dyDescent="0.3">
      <c r="B74" t="s">
        <v>220</v>
      </c>
    </row>
    <row r="75" spans="2:2" x14ac:dyDescent="0.3">
      <c r="B75" t="s">
        <v>135</v>
      </c>
    </row>
    <row r="76" spans="2:2" x14ac:dyDescent="0.3">
      <c r="B76" t="s">
        <v>221</v>
      </c>
    </row>
    <row r="77" spans="2:2" x14ac:dyDescent="0.3">
      <c r="B77" t="s">
        <v>222</v>
      </c>
    </row>
    <row r="79" spans="2:2" x14ac:dyDescent="0.3">
      <c r="B79" t="s">
        <v>224</v>
      </c>
    </row>
    <row r="80" spans="2:2" x14ac:dyDescent="0.3">
      <c r="B80" t="s">
        <v>186</v>
      </c>
    </row>
    <row r="82" spans="2:2" x14ac:dyDescent="0.3">
      <c r="B82" s="28" t="s">
        <v>104</v>
      </c>
    </row>
    <row r="83" spans="2:2" x14ac:dyDescent="0.3">
      <c r="B83" t="s">
        <v>137</v>
      </c>
    </row>
    <row r="84" spans="2:2" x14ac:dyDescent="0.3">
      <c r="B84" t="s">
        <v>136</v>
      </c>
    </row>
    <row r="85" spans="2:2" x14ac:dyDescent="0.3">
      <c r="B85" t="s">
        <v>138</v>
      </c>
    </row>
    <row r="86" spans="2:2" x14ac:dyDescent="0.3">
      <c r="B86" t="s">
        <v>139</v>
      </c>
    </row>
    <row r="100" spans="2:2" ht="15" thickBot="1" x14ac:dyDescent="0.35"/>
    <row r="101" spans="2:2" ht="15" thickBot="1" x14ac:dyDescent="0.35">
      <c r="B101" s="32"/>
    </row>
    <row r="102" spans="2:2" ht="15" thickBot="1" x14ac:dyDescent="0.35">
      <c r="B102" s="32"/>
    </row>
    <row r="103" spans="2:2" ht="15" thickBot="1" x14ac:dyDescent="0.35">
      <c r="B103" s="32"/>
    </row>
    <row r="104" spans="2:2" ht="15" thickBot="1" x14ac:dyDescent="0.35">
      <c r="B104" s="32"/>
    </row>
    <row r="105" spans="2:2" ht="15" thickBot="1" x14ac:dyDescent="0.35">
      <c r="B105" s="32"/>
    </row>
    <row r="106" spans="2:2" ht="15" thickBot="1" x14ac:dyDescent="0.35">
      <c r="B106" s="32"/>
    </row>
    <row r="107" spans="2:2" ht="15" thickBot="1" x14ac:dyDescent="0.35">
      <c r="B107" s="32"/>
    </row>
    <row r="108" spans="2:2" ht="15" thickBot="1" x14ac:dyDescent="0.35">
      <c r="B108" s="32"/>
    </row>
    <row r="109" spans="2:2" ht="15" thickBot="1" x14ac:dyDescent="0.35">
      <c r="B109" s="32"/>
    </row>
    <row r="110" spans="2:2" ht="15" thickBot="1" x14ac:dyDescent="0.35">
      <c r="B110" s="32"/>
    </row>
    <row r="111" spans="2:2" ht="15" thickBot="1" x14ac:dyDescent="0.35">
      <c r="B111" s="32"/>
    </row>
    <row r="112" spans="2:2" ht="15" thickBot="1" x14ac:dyDescent="0.35">
      <c r="B112" s="32"/>
    </row>
    <row r="113" spans="2:2" ht="15" thickBot="1" x14ac:dyDescent="0.35">
      <c r="B113" s="32"/>
    </row>
    <row r="114" spans="2:2" ht="15" thickBot="1" x14ac:dyDescent="0.35">
      <c r="B114" s="32"/>
    </row>
    <row r="115" spans="2:2" ht="15" thickBot="1" x14ac:dyDescent="0.35">
      <c r="B115" s="32"/>
    </row>
    <row r="116" spans="2:2" ht="15" thickBot="1" x14ac:dyDescent="0.35">
      <c r="B116" s="32"/>
    </row>
    <row r="117" spans="2:2" ht="15" thickBot="1" x14ac:dyDescent="0.35">
      <c r="B117" s="32"/>
    </row>
    <row r="118" spans="2:2" ht="15" thickBot="1" x14ac:dyDescent="0.35">
      <c r="B118" s="32"/>
    </row>
    <row r="119" spans="2:2" ht="15" thickBot="1" x14ac:dyDescent="0.35">
      <c r="B119" s="32"/>
    </row>
    <row r="120" spans="2:2" ht="15" thickBot="1" x14ac:dyDescent="0.35">
      <c r="B120" s="32"/>
    </row>
    <row r="121" spans="2:2" ht="15" thickBot="1" x14ac:dyDescent="0.35">
      <c r="B121" s="32"/>
    </row>
    <row r="122" spans="2:2" ht="15" thickBot="1" x14ac:dyDescent="0.35">
      <c r="B122" s="32"/>
    </row>
    <row r="123" spans="2:2" ht="15" thickBot="1" x14ac:dyDescent="0.35">
      <c r="B123" s="32"/>
    </row>
    <row r="124" spans="2:2" ht="15" thickBot="1" x14ac:dyDescent="0.35">
      <c r="B124" s="32"/>
    </row>
    <row r="125" spans="2:2" ht="15" thickBot="1" x14ac:dyDescent="0.35">
      <c r="B125" s="32"/>
    </row>
    <row r="126" spans="2:2" ht="15" thickBot="1" x14ac:dyDescent="0.35">
      <c r="B126" s="32"/>
    </row>
    <row r="127" spans="2:2" ht="15" thickBot="1" x14ac:dyDescent="0.35">
      <c r="B127" s="32"/>
    </row>
    <row r="128" spans="2:2" ht="15" thickBot="1" x14ac:dyDescent="0.35">
      <c r="B128" s="32"/>
    </row>
    <row r="129" spans="2:2" ht="15" thickBot="1" x14ac:dyDescent="0.35">
      <c r="B129" s="32"/>
    </row>
    <row r="130" spans="2:2" ht="15" thickBot="1" x14ac:dyDescent="0.35">
      <c r="B130" s="32"/>
    </row>
    <row r="131" spans="2:2" x14ac:dyDescent="0.3">
      <c r="B131" s="33"/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5"/>
  <dimension ref="A1:U112"/>
  <sheetViews>
    <sheetView workbookViewId="0">
      <selection activeCell="A2" sqref="A2"/>
    </sheetView>
  </sheetViews>
  <sheetFormatPr baseColWidth="10" defaultColWidth="11.6640625" defaultRowHeight="13.8" x14ac:dyDescent="0.3"/>
  <cols>
    <col min="1" max="1" width="13.5546875" style="2" customWidth="1"/>
    <col min="2" max="2" width="7.6640625" style="2" customWidth="1"/>
    <col min="3" max="3" width="17.6640625" style="2" customWidth="1"/>
    <col min="4" max="4" width="17.6640625" style="3" customWidth="1"/>
    <col min="5" max="5" width="11.6640625" style="3"/>
    <col min="6" max="6" width="10.109375" style="3" customWidth="1"/>
    <col min="7" max="7" width="3.6640625" style="3" customWidth="1"/>
    <col min="8" max="8" width="8.5546875" style="3" customWidth="1"/>
    <col min="9" max="9" width="10.6640625" style="1" customWidth="1"/>
    <col min="10" max="11" width="10.6640625" style="3" customWidth="1"/>
    <col min="12" max="14" width="11.33203125" style="3" customWidth="1"/>
    <col min="15" max="15" width="2.33203125" style="3" customWidth="1"/>
    <col min="16" max="17" width="7.44140625" style="3" customWidth="1"/>
    <col min="18" max="16384" width="11.6640625" style="3"/>
  </cols>
  <sheetData>
    <row r="1" spans="1:13" ht="14.4" x14ac:dyDescent="0.3">
      <c r="A1" t="s">
        <v>94</v>
      </c>
      <c r="B1"/>
      <c r="C1" t="s">
        <v>173</v>
      </c>
      <c r="D1"/>
      <c r="E1"/>
      <c r="F1"/>
      <c r="G1"/>
      <c r="H1" t="s">
        <v>288</v>
      </c>
      <c r="I1"/>
      <c r="J1"/>
      <c r="K1"/>
      <c r="L1"/>
      <c r="M1"/>
    </row>
    <row r="2" spans="1:13" ht="14.4" x14ac:dyDescent="0.3">
      <c r="A2"/>
      <c r="B2"/>
      <c r="C2"/>
      <c r="D2"/>
      <c r="E2"/>
      <c r="F2"/>
      <c r="G2"/>
      <c r="H2"/>
      <c r="I2"/>
      <c r="J2"/>
      <c r="K2"/>
      <c r="L2"/>
      <c r="M2"/>
    </row>
    <row r="3" spans="1:13" ht="14.4" x14ac:dyDescent="0.3">
      <c r="A3" t="s">
        <v>169</v>
      </c>
      <c r="B3"/>
      <c r="C3"/>
      <c r="D3"/>
      <c r="E3"/>
      <c r="F3" t="s">
        <v>171</v>
      </c>
      <c r="G3"/>
      <c r="H3"/>
      <c r="I3"/>
      <c r="J3"/>
      <c r="K3"/>
      <c r="L3"/>
      <c r="M3"/>
    </row>
    <row r="4" spans="1:13" ht="14.4" x14ac:dyDescent="0.3">
      <c r="A4"/>
      <c r="B4"/>
      <c r="C4"/>
      <c r="D4"/>
      <c r="E4"/>
      <c r="F4" t="s">
        <v>182</v>
      </c>
      <c r="G4"/>
      <c r="H4"/>
      <c r="I4"/>
      <c r="J4"/>
      <c r="K4"/>
      <c r="L4"/>
      <c r="M4"/>
    </row>
    <row r="5" spans="1:13" ht="14.4" x14ac:dyDescent="0.3">
      <c r="A5" s="12" t="s">
        <v>95</v>
      </c>
      <c r="B5"/>
      <c r="C5" s="1"/>
      <c r="D5"/>
      <c r="E5"/>
      <c r="F5"/>
      <c r="G5"/>
      <c r="H5"/>
      <c r="I5"/>
      <c r="J5"/>
      <c r="K5"/>
      <c r="L5"/>
      <c r="M5"/>
    </row>
    <row r="6" spans="1:13" ht="14.4" x14ac:dyDescent="0.3">
      <c r="A6" s="26" t="s">
        <v>76</v>
      </c>
      <c r="B6"/>
      <c r="C6" s="3" t="s">
        <v>161</v>
      </c>
      <c r="D6"/>
      <c r="E6"/>
      <c r="F6"/>
      <c r="G6"/>
      <c r="H6"/>
      <c r="I6"/>
      <c r="J6"/>
      <c r="K6"/>
      <c r="L6"/>
      <c r="M6"/>
    </row>
    <row r="7" spans="1:13" ht="14.4" x14ac:dyDescent="0.3">
      <c r="A7" s="24" t="s">
        <v>77</v>
      </c>
      <c r="B7"/>
      <c r="C7" s="3" t="s">
        <v>79</v>
      </c>
      <c r="D7"/>
      <c r="E7"/>
      <c r="F7"/>
      <c r="G7"/>
      <c r="H7"/>
      <c r="I7"/>
      <c r="J7"/>
      <c r="K7"/>
      <c r="L7"/>
      <c r="M7"/>
    </row>
    <row r="8" spans="1:13" ht="14.4" x14ac:dyDescent="0.3">
      <c r="A8" s="34" t="s">
        <v>78</v>
      </c>
      <c r="B8"/>
      <c r="C8" s="3" t="s">
        <v>74</v>
      </c>
      <c r="D8"/>
      <c r="E8"/>
      <c r="F8"/>
      <c r="G8"/>
      <c r="H8"/>
      <c r="I8"/>
      <c r="J8"/>
      <c r="K8"/>
      <c r="L8"/>
      <c r="M8"/>
    </row>
    <row r="9" spans="1:13" ht="14.4" x14ac:dyDescent="0.3">
      <c r="A9"/>
      <c r="B9"/>
      <c r="C9"/>
      <c r="D9"/>
      <c r="E9"/>
      <c r="F9"/>
      <c r="G9"/>
      <c r="H9"/>
      <c r="I9"/>
      <c r="J9"/>
      <c r="K9"/>
      <c r="L9"/>
      <c r="M9"/>
    </row>
    <row r="10" spans="1:13" ht="14.4" x14ac:dyDescent="0.3">
      <c r="A10"/>
      <c r="B10"/>
      <c r="C10"/>
      <c r="D10"/>
      <c r="E10"/>
      <c r="F10"/>
      <c r="G10"/>
      <c r="H10"/>
      <c r="I10"/>
      <c r="J10"/>
      <c r="K10"/>
      <c r="L10"/>
      <c r="M10"/>
    </row>
    <row r="11" spans="1:13" ht="14.4" x14ac:dyDescent="0.3">
      <c r="A11"/>
      <c r="B11"/>
      <c r="C11"/>
      <c r="D11"/>
      <c r="E11"/>
      <c r="F11"/>
      <c r="G11"/>
      <c r="H11"/>
      <c r="I11"/>
      <c r="J11"/>
      <c r="K11"/>
      <c r="L11"/>
      <c r="M11"/>
    </row>
    <row r="12" spans="1:13" ht="14.4" x14ac:dyDescent="0.3">
      <c r="A12"/>
      <c r="B12"/>
      <c r="C12"/>
      <c r="D12"/>
      <c r="E12"/>
      <c r="F12"/>
      <c r="G12"/>
      <c r="H12"/>
      <c r="I12"/>
      <c r="J12"/>
      <c r="K12"/>
      <c r="L12"/>
      <c r="M12"/>
    </row>
    <row r="13" spans="1:13" ht="14.4" x14ac:dyDescent="0.3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 ht="14.4" x14ac:dyDescent="0.3">
      <c r="A14"/>
      <c r="B14"/>
      <c r="C14"/>
      <c r="D14"/>
      <c r="E14"/>
      <c r="F14"/>
      <c r="G14"/>
      <c r="H14"/>
      <c r="I14"/>
      <c r="J14"/>
      <c r="K14"/>
      <c r="L14"/>
      <c r="M14"/>
    </row>
    <row r="15" spans="1:13" ht="14.4" x14ac:dyDescent="0.3">
      <c r="A15"/>
      <c r="B15"/>
      <c r="C15"/>
      <c r="D15"/>
      <c r="E15"/>
      <c r="F15"/>
      <c r="G15"/>
      <c r="H15"/>
      <c r="I15"/>
      <c r="J15"/>
      <c r="K15"/>
      <c r="L15"/>
      <c r="M15"/>
    </row>
    <row r="16" spans="1:13" ht="14.4" x14ac:dyDescent="0.3">
      <c r="A16"/>
      <c r="B16"/>
      <c r="C16"/>
      <c r="D16"/>
      <c r="E16"/>
      <c r="F16"/>
      <c r="G16"/>
      <c r="H16"/>
      <c r="I16"/>
      <c r="J16"/>
      <c r="K16"/>
      <c r="L16"/>
      <c r="M16"/>
    </row>
    <row r="17" spans="1:13" ht="14.4" x14ac:dyDescent="0.3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14.4" x14ac:dyDescent="0.3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ht="14.4" x14ac:dyDescent="0.3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ht="14.4" x14ac:dyDescent="0.3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ht="14.4" x14ac:dyDescent="0.3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ht="14.4" x14ac:dyDescent="0.3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ht="14.4" x14ac:dyDescent="0.3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ht="14.4" x14ac:dyDescent="0.3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ht="14.4" x14ac:dyDescent="0.3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ht="14.4" x14ac:dyDescent="0.3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ht="14.4" x14ac:dyDescent="0.3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ht="14.4" x14ac:dyDescent="0.3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ht="14.4" x14ac:dyDescent="0.3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ht="14.4" x14ac:dyDescent="0.3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ht="14.4" x14ac:dyDescent="0.3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x14ac:dyDescent="0.3">
      <c r="A32" s="12" t="s">
        <v>40</v>
      </c>
      <c r="B32" s="12"/>
      <c r="F32" s="4"/>
    </row>
    <row r="33" spans="1:17" ht="14.4" thickBot="1" x14ac:dyDescent="0.35">
      <c r="A33" s="12"/>
      <c r="B33" s="12"/>
      <c r="F33" s="4"/>
    </row>
    <row r="34" spans="1:17" x14ac:dyDescent="0.3">
      <c r="A34" s="67" t="s">
        <v>110</v>
      </c>
      <c r="B34" s="44"/>
      <c r="C34" s="44"/>
      <c r="D34" s="44"/>
      <c r="E34" s="44"/>
      <c r="F34" s="102"/>
      <c r="H34" s="67" t="s">
        <v>112</v>
      </c>
      <c r="I34" s="68"/>
      <c r="J34" s="68"/>
      <c r="K34" s="68"/>
      <c r="L34" s="68"/>
      <c r="M34" s="69"/>
      <c r="N34" s="1"/>
      <c r="O34" s="1"/>
      <c r="P34" s="1"/>
      <c r="Q34" s="1"/>
    </row>
    <row r="35" spans="1:17" ht="41.4" customHeight="1" x14ac:dyDescent="0.3">
      <c r="A35" s="103" t="s">
        <v>37</v>
      </c>
      <c r="C35" s="167" t="s">
        <v>94</v>
      </c>
      <c r="D35" s="167"/>
      <c r="E35" s="167"/>
      <c r="F35" s="168"/>
      <c r="H35" s="70" t="s">
        <v>155</v>
      </c>
      <c r="I35" s="35" t="s">
        <v>60</v>
      </c>
      <c r="J35" s="35" t="s">
        <v>23</v>
      </c>
      <c r="K35" s="35" t="s">
        <v>22</v>
      </c>
      <c r="L35" s="35" t="s">
        <v>100</v>
      </c>
      <c r="M35" s="71" t="s">
        <v>101</v>
      </c>
      <c r="P35" s="35" t="s">
        <v>28</v>
      </c>
      <c r="Q35" s="35" t="s">
        <v>27</v>
      </c>
    </row>
    <row r="36" spans="1:17" ht="12" customHeight="1" thickBot="1" x14ac:dyDescent="0.35">
      <c r="A36" s="50" t="s">
        <v>38</v>
      </c>
      <c r="B36" s="51"/>
      <c r="C36" s="169" t="s">
        <v>70</v>
      </c>
      <c r="D36" s="169"/>
      <c r="E36" s="52" t="s">
        <v>39</v>
      </c>
      <c r="F36" s="124">
        <v>43061</v>
      </c>
      <c r="H36" s="72" t="s">
        <v>109</v>
      </c>
      <c r="I36" s="18"/>
      <c r="J36" s="18" t="s">
        <v>6</v>
      </c>
      <c r="K36" s="18" t="s">
        <v>6</v>
      </c>
      <c r="L36" s="18" t="s">
        <v>9</v>
      </c>
      <c r="M36" s="48" t="s">
        <v>9</v>
      </c>
      <c r="N36" s="18"/>
      <c r="O36" s="18"/>
      <c r="P36" s="18"/>
      <c r="Q36" s="1" t="s">
        <v>5</v>
      </c>
    </row>
    <row r="37" spans="1:17" ht="12" customHeight="1" x14ac:dyDescent="0.3">
      <c r="H37" s="117" t="s">
        <v>19</v>
      </c>
      <c r="I37" s="125">
        <v>2</v>
      </c>
      <c r="J37" s="125">
        <v>0.5</v>
      </c>
      <c r="K37" s="125">
        <v>6.3</v>
      </c>
      <c r="L37" s="125">
        <v>20</v>
      </c>
      <c r="M37" s="126">
        <v>125</v>
      </c>
      <c r="P37" s="1" t="s">
        <v>67</v>
      </c>
      <c r="Q37" s="13">
        <v>0.23552436867660775</v>
      </c>
    </row>
    <row r="38" spans="1:17" ht="12" customHeight="1" x14ac:dyDescent="0.3">
      <c r="A38" s="12" t="s">
        <v>31</v>
      </c>
      <c r="B38" s="12"/>
      <c r="D38" s="2"/>
      <c r="E38" s="2"/>
      <c r="F38" s="2"/>
      <c r="H38" s="117" t="s">
        <v>20</v>
      </c>
      <c r="I38" s="125">
        <v>2</v>
      </c>
      <c r="J38" s="125">
        <v>0.5</v>
      </c>
      <c r="K38" s="125">
        <v>3.7</v>
      </c>
      <c r="L38" s="125">
        <v>20</v>
      </c>
      <c r="M38" s="126">
        <v>82</v>
      </c>
      <c r="P38" s="1" t="s">
        <v>174</v>
      </c>
      <c r="Q38" s="13">
        <v>0.26523757722766433</v>
      </c>
    </row>
    <row r="39" spans="1:17" ht="12" customHeight="1" x14ac:dyDescent="0.3">
      <c r="H39" s="117" t="s">
        <v>21</v>
      </c>
      <c r="I39" s="125">
        <v>2</v>
      </c>
      <c r="J39" s="125">
        <v>20</v>
      </c>
      <c r="K39" s="125">
        <v>6.5</v>
      </c>
      <c r="L39" s="125">
        <v>125</v>
      </c>
      <c r="M39" s="126">
        <v>288</v>
      </c>
      <c r="P39" s="1" t="s">
        <v>175</v>
      </c>
      <c r="Q39" s="13">
        <v>0.12947573193395931</v>
      </c>
    </row>
    <row r="40" spans="1:17" ht="12" customHeight="1" x14ac:dyDescent="0.3">
      <c r="A40" s="22" t="s">
        <v>157</v>
      </c>
      <c r="B40" s="22"/>
      <c r="C40" s="22"/>
      <c r="D40" s="22"/>
      <c r="E40" s="23">
        <v>0.13381064022679412</v>
      </c>
      <c r="F40" s="22" t="s">
        <v>5</v>
      </c>
      <c r="H40" s="117"/>
      <c r="I40" s="125"/>
      <c r="J40" s="125"/>
      <c r="K40" s="125"/>
      <c r="L40" s="125"/>
      <c r="M40" s="126"/>
      <c r="P40" s="1" t="s">
        <v>176</v>
      </c>
      <c r="Q40" s="13" t="s">
        <v>176</v>
      </c>
    </row>
    <row r="41" spans="1:17" ht="12" customHeight="1" x14ac:dyDescent="0.3">
      <c r="A41" s="22" t="s">
        <v>43</v>
      </c>
      <c r="B41" s="22"/>
      <c r="C41" s="22"/>
      <c r="D41" s="22"/>
      <c r="E41" s="25">
        <v>0.13381064022679412</v>
      </c>
      <c r="F41" s="22" t="s">
        <v>5</v>
      </c>
      <c r="H41" s="117"/>
      <c r="I41" s="125"/>
      <c r="J41" s="125"/>
      <c r="K41" s="125"/>
      <c r="L41" s="125"/>
      <c r="M41" s="126"/>
      <c r="P41" s="1" t="s">
        <v>176</v>
      </c>
      <c r="Q41" s="13"/>
    </row>
    <row r="42" spans="1:17" ht="12" customHeight="1" x14ac:dyDescent="0.3">
      <c r="A42" s="3"/>
      <c r="B42" s="3"/>
      <c r="C42" s="3"/>
      <c r="F42" s="2"/>
      <c r="H42" s="117"/>
      <c r="I42" s="125"/>
      <c r="J42" s="125"/>
      <c r="K42" s="125"/>
      <c r="L42" s="125"/>
      <c r="M42" s="126"/>
      <c r="P42" s="1" t="s">
        <v>176</v>
      </c>
      <c r="Q42" s="13"/>
    </row>
    <row r="43" spans="1:17" ht="12" customHeight="1" thickBot="1" x14ac:dyDescent="0.35">
      <c r="A43" s="12" t="s">
        <v>115</v>
      </c>
      <c r="E43" s="1"/>
      <c r="F43" s="2"/>
      <c r="H43" s="127"/>
      <c r="I43" s="128"/>
      <c r="J43" s="128"/>
      <c r="K43" s="128"/>
      <c r="L43" s="128"/>
      <c r="M43" s="129"/>
      <c r="P43" s="1" t="s">
        <v>176</v>
      </c>
      <c r="Q43" s="13"/>
    </row>
    <row r="44" spans="1:17" ht="12" customHeight="1" thickBot="1" x14ac:dyDescent="0.35">
      <c r="A44" s="2" t="s">
        <v>0</v>
      </c>
      <c r="E44" s="15">
        <v>8.1</v>
      </c>
      <c r="F44" s="2" t="s">
        <v>7</v>
      </c>
      <c r="H44" s="7"/>
      <c r="I44" s="7"/>
      <c r="Q44" s="1"/>
    </row>
    <row r="45" spans="1:17" ht="12" customHeight="1" thickTop="1" x14ac:dyDescent="0.3">
      <c r="A45" s="2" t="s">
        <v>41</v>
      </c>
      <c r="E45" s="15">
        <v>54.335449999999994</v>
      </c>
      <c r="F45" s="2" t="s">
        <v>7</v>
      </c>
      <c r="H45" s="75" t="s">
        <v>228</v>
      </c>
      <c r="I45" s="76"/>
      <c r="J45" s="76"/>
      <c r="K45" s="76"/>
      <c r="L45" s="76"/>
      <c r="M45" s="76"/>
      <c r="N45" s="77"/>
    </row>
    <row r="46" spans="1:17" ht="12" customHeight="1" x14ac:dyDescent="0.3">
      <c r="A46" s="2" t="s">
        <v>1</v>
      </c>
      <c r="E46" s="15">
        <v>0</v>
      </c>
      <c r="F46" s="2" t="s">
        <v>7</v>
      </c>
      <c r="H46" s="78" t="s">
        <v>81</v>
      </c>
      <c r="I46" s="3"/>
      <c r="K46" s="1"/>
      <c r="L46" s="47" t="s">
        <v>66</v>
      </c>
      <c r="M46" s="47" t="s">
        <v>67</v>
      </c>
      <c r="N46" s="79" t="s">
        <v>68</v>
      </c>
    </row>
    <row r="47" spans="1:17" ht="12" customHeight="1" x14ac:dyDescent="0.3">
      <c r="A47" s="2" t="s">
        <v>2</v>
      </c>
      <c r="E47" s="15">
        <v>13.5</v>
      </c>
      <c r="F47" s="2" t="s">
        <v>7</v>
      </c>
      <c r="H47" s="78" t="s">
        <v>22</v>
      </c>
      <c r="I47" s="3"/>
      <c r="K47" s="1" t="s">
        <v>6</v>
      </c>
      <c r="L47" s="130">
        <v>6.5</v>
      </c>
      <c r="M47" s="130">
        <v>3.7</v>
      </c>
      <c r="N47" s="131"/>
    </row>
    <row r="48" spans="1:17" ht="12" customHeight="1" x14ac:dyDescent="0.3">
      <c r="A48" s="2" t="s">
        <v>58</v>
      </c>
      <c r="E48" s="15">
        <v>75.935450000000003</v>
      </c>
      <c r="F48" s="2" t="s">
        <v>7</v>
      </c>
      <c r="H48" s="81" t="s">
        <v>64</v>
      </c>
      <c r="I48" s="3"/>
      <c r="K48" s="1" t="s">
        <v>9</v>
      </c>
      <c r="L48" s="130">
        <v>125</v>
      </c>
      <c r="M48" s="130">
        <v>20</v>
      </c>
      <c r="N48" s="131"/>
    </row>
    <row r="49" spans="1:17" ht="12" customHeight="1" thickBot="1" x14ac:dyDescent="0.35">
      <c r="A49" s="2" t="s">
        <v>230</v>
      </c>
      <c r="E49" s="15">
        <v>270</v>
      </c>
      <c r="F49" s="2" t="s">
        <v>8</v>
      </c>
      <c r="H49" s="82" t="s">
        <v>65</v>
      </c>
      <c r="I49" s="83"/>
      <c r="J49" s="83"/>
      <c r="K49" s="84" t="s">
        <v>9</v>
      </c>
      <c r="L49" s="85">
        <v>287.5</v>
      </c>
      <c r="M49" s="85">
        <v>81.666666666666657</v>
      </c>
      <c r="N49" s="86" t="s">
        <v>176</v>
      </c>
    </row>
    <row r="50" spans="1:17" ht="12" customHeight="1" thickTop="1" thickBot="1" x14ac:dyDescent="0.35">
      <c r="I50" s="3"/>
    </row>
    <row r="51" spans="1:17" ht="12" customHeight="1" x14ac:dyDescent="0.3">
      <c r="A51" s="54" t="s">
        <v>111</v>
      </c>
      <c r="B51" s="55"/>
      <c r="C51" s="55"/>
      <c r="D51" s="44"/>
      <c r="E51" s="44"/>
      <c r="F51" s="45"/>
      <c r="H51" s="67" t="s">
        <v>113</v>
      </c>
      <c r="I51" s="68"/>
      <c r="J51" s="44"/>
      <c r="K51" s="44"/>
      <c r="L51" s="44"/>
      <c r="M51" s="44"/>
      <c r="N51" s="45"/>
    </row>
    <row r="52" spans="1:17" ht="41.4" customHeight="1" x14ac:dyDescent="0.3">
      <c r="A52" s="56" t="s">
        <v>18</v>
      </c>
      <c r="B52" s="16"/>
      <c r="C52" s="16" t="s">
        <v>4</v>
      </c>
      <c r="D52" s="17" t="s">
        <v>3</v>
      </c>
      <c r="E52" s="17" t="s">
        <v>14</v>
      </c>
      <c r="F52" s="57" t="s">
        <v>15</v>
      </c>
      <c r="G52" s="7"/>
      <c r="H52" s="70" t="s">
        <v>156</v>
      </c>
      <c r="I52" s="35" t="s">
        <v>59</v>
      </c>
      <c r="J52" s="35" t="s">
        <v>23</v>
      </c>
      <c r="K52" s="35" t="s">
        <v>22</v>
      </c>
      <c r="L52" s="35" t="s">
        <v>44</v>
      </c>
      <c r="M52" s="35" t="s">
        <v>45</v>
      </c>
      <c r="N52" s="71" t="s">
        <v>46</v>
      </c>
      <c r="O52" s="17"/>
      <c r="P52" s="35" t="s">
        <v>28</v>
      </c>
      <c r="Q52" s="35" t="s">
        <v>27</v>
      </c>
    </row>
    <row r="53" spans="1:17" ht="12" customHeight="1" x14ac:dyDescent="0.3">
      <c r="A53" s="46"/>
      <c r="D53" s="1" t="s">
        <v>9</v>
      </c>
      <c r="E53" s="1" t="s">
        <v>10</v>
      </c>
      <c r="F53" s="58" t="s">
        <v>11</v>
      </c>
      <c r="H53" s="72" t="s">
        <v>109</v>
      </c>
      <c r="I53" s="18"/>
      <c r="J53" s="18" t="s">
        <v>6</v>
      </c>
      <c r="K53" s="18" t="s">
        <v>6</v>
      </c>
      <c r="L53" s="18" t="s">
        <v>9</v>
      </c>
      <c r="M53" s="18" t="s">
        <v>9</v>
      </c>
      <c r="N53" s="48" t="s">
        <v>9</v>
      </c>
      <c r="O53" s="18"/>
      <c r="P53" s="19"/>
      <c r="Q53" s="1" t="s">
        <v>5</v>
      </c>
    </row>
    <row r="54" spans="1:17" ht="12" customHeight="1" x14ac:dyDescent="0.3">
      <c r="A54" s="117" t="s">
        <v>42</v>
      </c>
      <c r="B54" s="118"/>
      <c r="C54" s="118" t="s">
        <v>50</v>
      </c>
      <c r="D54" s="125">
        <v>5</v>
      </c>
      <c r="E54" s="125">
        <v>0.7</v>
      </c>
      <c r="F54" s="62">
        <v>7.1428571428571435E-3</v>
      </c>
      <c r="H54" s="117"/>
      <c r="I54" s="125"/>
      <c r="J54" s="125"/>
      <c r="K54" s="125"/>
      <c r="L54" s="125"/>
      <c r="M54" s="125"/>
      <c r="N54" s="126"/>
      <c r="O54" s="18"/>
      <c r="P54" s="1" t="s">
        <v>176</v>
      </c>
      <c r="Q54" s="13" t="s">
        <v>176</v>
      </c>
    </row>
    <row r="55" spans="1:17" ht="12" customHeight="1" x14ac:dyDescent="0.3">
      <c r="A55" s="117" t="s">
        <v>16</v>
      </c>
      <c r="B55" s="118"/>
      <c r="C55" s="118" t="s">
        <v>48</v>
      </c>
      <c r="D55" s="125">
        <v>30</v>
      </c>
      <c r="E55" s="125">
        <v>3.5999999999999997E-2</v>
      </c>
      <c r="F55" s="62">
        <v>0.83333333333333337</v>
      </c>
      <c r="H55" s="117"/>
      <c r="I55" s="125"/>
      <c r="J55" s="125"/>
      <c r="K55" s="125"/>
      <c r="L55" s="125"/>
      <c r="M55" s="125"/>
      <c r="N55" s="126"/>
      <c r="O55" s="18"/>
      <c r="P55" s="1" t="s">
        <v>176</v>
      </c>
      <c r="Q55" s="13" t="s">
        <v>176</v>
      </c>
    </row>
    <row r="56" spans="1:17" ht="12" customHeight="1" x14ac:dyDescent="0.3">
      <c r="A56" s="46" t="s">
        <v>51</v>
      </c>
      <c r="C56" s="118" t="s">
        <v>49</v>
      </c>
      <c r="D56" s="4" t="s">
        <v>114</v>
      </c>
      <c r="E56" s="125">
        <v>3.7999999999999999E-2</v>
      </c>
      <c r="F56" s="63"/>
      <c r="H56" s="117"/>
      <c r="I56" s="125"/>
      <c r="J56" s="125"/>
      <c r="K56" s="125"/>
      <c r="L56" s="125"/>
      <c r="M56" s="125"/>
      <c r="N56" s="126"/>
      <c r="O56" s="18"/>
      <c r="P56" s="1" t="s">
        <v>176</v>
      </c>
      <c r="Q56" s="13" t="s">
        <v>176</v>
      </c>
    </row>
    <row r="57" spans="1:17" ht="12" customHeight="1" x14ac:dyDescent="0.3">
      <c r="A57" s="117" t="s">
        <v>17</v>
      </c>
      <c r="B57" s="118"/>
      <c r="C57" s="118" t="s">
        <v>49</v>
      </c>
      <c r="D57" s="125">
        <v>0</v>
      </c>
      <c r="E57" s="125">
        <v>3.7999999999999999E-2</v>
      </c>
      <c r="F57" s="62">
        <v>0</v>
      </c>
      <c r="H57" s="117"/>
      <c r="I57" s="125"/>
      <c r="J57" s="125"/>
      <c r="K57" s="125"/>
      <c r="L57" s="125"/>
      <c r="M57" s="125"/>
      <c r="N57" s="126"/>
      <c r="O57" s="18"/>
      <c r="P57" s="1" t="s">
        <v>176</v>
      </c>
      <c r="Q57" s="13" t="s">
        <v>176</v>
      </c>
    </row>
    <row r="58" spans="1:17" ht="12" customHeight="1" x14ac:dyDescent="0.3">
      <c r="A58" s="117" t="s">
        <v>12</v>
      </c>
      <c r="B58" s="118"/>
      <c r="C58" s="118" t="s">
        <v>107</v>
      </c>
      <c r="D58" s="125">
        <v>50</v>
      </c>
      <c r="E58" s="125">
        <v>3.5999999999999997E-2</v>
      </c>
      <c r="F58" s="62">
        <v>1.3888888888888891</v>
      </c>
      <c r="H58" s="117"/>
      <c r="I58" s="125"/>
      <c r="J58" s="125"/>
      <c r="K58" s="125"/>
      <c r="L58" s="125"/>
      <c r="M58" s="125"/>
      <c r="N58" s="126"/>
      <c r="O58" s="18"/>
      <c r="P58" s="1" t="s">
        <v>176</v>
      </c>
      <c r="Q58" s="13" t="s">
        <v>176</v>
      </c>
    </row>
    <row r="59" spans="1:17" ht="12" customHeight="1" x14ac:dyDescent="0.3">
      <c r="A59" s="117"/>
      <c r="B59" s="118"/>
      <c r="C59" s="118"/>
      <c r="D59" s="125"/>
      <c r="E59" s="125"/>
      <c r="F59" s="62" t="s">
        <v>176</v>
      </c>
      <c r="H59" s="117"/>
      <c r="I59" s="125"/>
      <c r="J59" s="125"/>
      <c r="K59" s="125"/>
      <c r="L59" s="125"/>
      <c r="M59" s="125"/>
      <c r="N59" s="126"/>
      <c r="O59" s="18"/>
      <c r="P59" s="1" t="s">
        <v>176</v>
      </c>
      <c r="Q59" s="13" t="s">
        <v>176</v>
      </c>
    </row>
    <row r="60" spans="1:17" ht="12" customHeight="1" thickBot="1" x14ac:dyDescent="0.35">
      <c r="A60" s="117" t="s">
        <v>13</v>
      </c>
      <c r="B60" s="118"/>
      <c r="C60" s="118" t="s">
        <v>47</v>
      </c>
      <c r="D60" s="125">
        <v>270</v>
      </c>
      <c r="E60" s="125">
        <v>2.2999999999999998</v>
      </c>
      <c r="F60" s="62">
        <v>0.1173913043478261</v>
      </c>
      <c r="H60" s="127"/>
      <c r="I60" s="128"/>
      <c r="J60" s="128"/>
      <c r="K60" s="128"/>
      <c r="L60" s="128"/>
      <c r="M60" s="128"/>
      <c r="N60" s="129"/>
      <c r="O60" s="18"/>
      <c r="P60" s="1" t="s">
        <v>176</v>
      </c>
      <c r="Q60" s="13" t="s">
        <v>176</v>
      </c>
    </row>
    <row r="61" spans="1:17" s="7" customFormat="1" ht="12" customHeight="1" thickBot="1" x14ac:dyDescent="0.35">
      <c r="A61" s="46" t="s">
        <v>152</v>
      </c>
      <c r="B61" s="2"/>
      <c r="C61" s="2"/>
      <c r="D61" s="2"/>
      <c r="E61" s="2"/>
      <c r="F61" s="126"/>
      <c r="G61" s="3"/>
      <c r="H61" s="2"/>
      <c r="I61" s="2"/>
      <c r="J61" s="2"/>
      <c r="K61" s="2"/>
      <c r="L61" s="3"/>
      <c r="M61" s="3"/>
      <c r="N61" s="3"/>
      <c r="O61" s="18"/>
      <c r="P61" s="3"/>
      <c r="Q61" s="3"/>
    </row>
    <row r="62" spans="1:17" ht="12" customHeight="1" thickTop="1" thickBot="1" x14ac:dyDescent="0.35">
      <c r="A62" s="50" t="s">
        <v>239</v>
      </c>
      <c r="D62" s="2"/>
      <c r="E62" s="2"/>
      <c r="F62" s="126"/>
      <c r="H62" s="75" t="s">
        <v>229</v>
      </c>
      <c r="I62" s="76"/>
      <c r="J62" s="76"/>
      <c r="K62" s="76"/>
      <c r="L62" s="76"/>
      <c r="M62" s="76"/>
      <c r="N62" s="77"/>
      <c r="O62" s="18"/>
    </row>
    <row r="63" spans="1:17" ht="12" customHeight="1" x14ac:dyDescent="0.3">
      <c r="A63" s="46"/>
      <c r="F63" s="49"/>
      <c r="H63" s="78" t="s">
        <v>80</v>
      </c>
      <c r="I63" s="3"/>
      <c r="K63" s="1"/>
      <c r="L63" s="47" t="s">
        <v>66</v>
      </c>
      <c r="M63" s="47" t="s">
        <v>67</v>
      </c>
      <c r="N63" s="79" t="s">
        <v>68</v>
      </c>
      <c r="O63" s="18"/>
    </row>
    <row r="64" spans="1:17" ht="12" customHeight="1" x14ac:dyDescent="0.3">
      <c r="A64" s="65" t="s">
        <v>61</v>
      </c>
      <c r="D64" s="2"/>
      <c r="E64" s="4" t="s">
        <v>8</v>
      </c>
      <c r="F64" s="132">
        <v>270</v>
      </c>
      <c r="H64" s="78" t="s">
        <v>22</v>
      </c>
      <c r="I64" s="3"/>
      <c r="K64" s="1" t="s">
        <v>6</v>
      </c>
      <c r="L64" s="130"/>
      <c r="M64" s="130"/>
      <c r="N64" s="131"/>
      <c r="O64" s="18"/>
    </row>
    <row r="65" spans="1:21" ht="12" customHeight="1" thickBot="1" x14ac:dyDescent="0.35">
      <c r="A65" s="105" t="s">
        <v>62</v>
      </c>
      <c r="B65" s="51"/>
      <c r="C65" s="51"/>
      <c r="D65" s="51"/>
      <c r="E65" s="52" t="s">
        <v>8</v>
      </c>
      <c r="F65" s="133">
        <v>0</v>
      </c>
      <c r="H65" s="81" t="s">
        <v>64</v>
      </c>
      <c r="I65" s="3"/>
      <c r="K65" s="1" t="s">
        <v>9</v>
      </c>
      <c r="L65" s="130"/>
      <c r="M65" s="130"/>
      <c r="N65" s="131"/>
      <c r="O65" s="18"/>
    </row>
    <row r="66" spans="1:21" ht="12" customHeight="1" x14ac:dyDescent="0.3">
      <c r="A66" s="2" t="s">
        <v>69</v>
      </c>
      <c r="D66" s="5" t="s">
        <v>177</v>
      </c>
      <c r="E66" s="4"/>
      <c r="F66" s="4"/>
      <c r="H66" s="81" t="s">
        <v>65</v>
      </c>
      <c r="I66" s="3"/>
      <c r="K66" s="1" t="s">
        <v>9</v>
      </c>
      <c r="L66" s="21" t="s">
        <v>176</v>
      </c>
      <c r="M66" s="21" t="s">
        <v>176</v>
      </c>
      <c r="N66" s="98" t="s">
        <v>176</v>
      </c>
      <c r="O66" s="18"/>
    </row>
    <row r="67" spans="1:21" ht="12" customHeight="1" x14ac:dyDescent="0.3">
      <c r="A67" s="3"/>
      <c r="B67" s="3"/>
      <c r="C67" s="3"/>
      <c r="H67" s="81" t="s">
        <v>180</v>
      </c>
      <c r="K67" s="1" t="s">
        <v>9</v>
      </c>
      <c r="L67" s="21" t="s">
        <v>176</v>
      </c>
      <c r="M67" s="21" t="s">
        <v>176</v>
      </c>
      <c r="N67" s="99"/>
      <c r="O67" s="21"/>
    </row>
    <row r="68" spans="1:21" ht="12" customHeight="1" x14ac:dyDescent="0.3">
      <c r="H68" s="81" t="s">
        <v>23</v>
      </c>
      <c r="K68" s="1" t="s">
        <v>6</v>
      </c>
      <c r="L68" s="1" t="s">
        <v>176</v>
      </c>
      <c r="M68" s="1" t="s">
        <v>176</v>
      </c>
      <c r="N68" s="99"/>
    </row>
    <row r="69" spans="1:21" ht="12" customHeight="1" x14ac:dyDescent="0.3">
      <c r="H69" s="100" t="s">
        <v>71</v>
      </c>
      <c r="N69" s="99"/>
    </row>
    <row r="70" spans="1:21" ht="12" customHeight="1" thickBot="1" x14ac:dyDescent="0.35">
      <c r="H70" s="82" t="s">
        <v>82</v>
      </c>
      <c r="I70" s="84"/>
      <c r="J70" s="83"/>
      <c r="K70" s="83"/>
      <c r="L70" s="83"/>
      <c r="M70" s="83"/>
      <c r="N70" s="101"/>
    </row>
    <row r="71" spans="1:21" ht="12" customHeight="1" thickTop="1" x14ac:dyDescent="0.3"/>
    <row r="72" spans="1:21" ht="12" customHeight="1" x14ac:dyDescent="0.3">
      <c r="A72" s="5" t="s">
        <v>122</v>
      </c>
      <c r="B72" s="3"/>
      <c r="C72" s="3"/>
    </row>
    <row r="73" spans="1:21" ht="12" customHeight="1" x14ac:dyDescent="0.3">
      <c r="A73" s="2" t="s">
        <v>35</v>
      </c>
      <c r="D73" s="2"/>
      <c r="E73" s="1" t="s">
        <v>11</v>
      </c>
      <c r="F73" s="1">
        <v>0.04</v>
      </c>
    </row>
    <row r="74" spans="1:21" ht="12" customHeight="1" x14ac:dyDescent="0.3">
      <c r="A74" s="2" t="s">
        <v>34</v>
      </c>
      <c r="D74" s="2"/>
      <c r="E74" s="1" t="s">
        <v>11</v>
      </c>
      <c r="F74" s="14">
        <v>0.1</v>
      </c>
      <c r="S74" s="18"/>
      <c r="T74" s="165"/>
      <c r="U74" s="165"/>
    </row>
    <row r="75" spans="1:21" ht="12" customHeight="1" x14ac:dyDescent="0.3">
      <c r="A75" s="3"/>
      <c r="B75" s="3"/>
      <c r="C75" s="3"/>
      <c r="R75" s="1"/>
      <c r="S75" s="1"/>
      <c r="T75" s="1"/>
      <c r="U75" s="1"/>
    </row>
    <row r="76" spans="1:21" ht="12" customHeight="1" x14ac:dyDescent="0.3">
      <c r="R76" s="1"/>
      <c r="S76" s="1"/>
      <c r="T76" s="1"/>
      <c r="U76" s="21"/>
    </row>
    <row r="77" spans="1:21" x14ac:dyDescent="0.3">
      <c r="A77" s="5" t="s">
        <v>123</v>
      </c>
      <c r="B77" s="3"/>
      <c r="C77" s="3"/>
      <c r="I77" s="3"/>
      <c r="R77" s="1"/>
      <c r="S77" s="1"/>
      <c r="T77" s="1"/>
      <c r="U77" s="21"/>
    </row>
    <row r="78" spans="1:21" x14ac:dyDescent="0.3">
      <c r="A78" s="2" t="s">
        <v>185</v>
      </c>
      <c r="D78" s="1"/>
      <c r="E78" s="1" t="s">
        <v>11</v>
      </c>
      <c r="F78" s="13">
        <v>2.4867563837129056</v>
      </c>
      <c r="I78" s="3"/>
      <c r="P78" s="27"/>
      <c r="R78" s="1"/>
      <c r="S78" s="1"/>
      <c r="T78" s="21"/>
      <c r="U78" s="21"/>
    </row>
    <row r="79" spans="1:21" x14ac:dyDescent="0.3">
      <c r="A79" s="2" t="s">
        <v>63</v>
      </c>
      <c r="D79" s="2"/>
      <c r="E79" s="4" t="s">
        <v>5</v>
      </c>
      <c r="F79" s="13">
        <v>0.40213026356322379</v>
      </c>
      <c r="I79" s="3"/>
      <c r="R79" s="1"/>
      <c r="S79" s="1"/>
      <c r="T79" s="21"/>
      <c r="U79" s="21"/>
    </row>
    <row r="80" spans="1:21" x14ac:dyDescent="0.3">
      <c r="A80" s="2" t="s">
        <v>117</v>
      </c>
      <c r="D80" s="2"/>
      <c r="E80" s="4" t="s">
        <v>5</v>
      </c>
      <c r="F80" s="13">
        <v>0.13381064022679412</v>
      </c>
      <c r="I80" s="3"/>
      <c r="R80" s="1"/>
      <c r="S80" s="1"/>
      <c r="T80" s="21"/>
      <c r="U80" s="21"/>
    </row>
    <row r="81" spans="1:21" x14ac:dyDescent="0.3">
      <c r="A81" s="2" t="s">
        <v>124</v>
      </c>
      <c r="D81" s="2"/>
      <c r="E81" s="4" t="s">
        <v>5</v>
      </c>
      <c r="F81" s="13">
        <v>0.12849161161610809</v>
      </c>
      <c r="I81" s="3"/>
      <c r="R81" s="1"/>
      <c r="S81" s="1"/>
      <c r="T81" s="21"/>
      <c r="U81" s="21"/>
    </row>
    <row r="82" spans="1:21" x14ac:dyDescent="0.3">
      <c r="A82" s="2" t="s">
        <v>119</v>
      </c>
      <c r="E82" s="4" t="s">
        <v>118</v>
      </c>
      <c r="F82" s="15">
        <v>-3.9750415973429862</v>
      </c>
      <c r="I82" s="3"/>
    </row>
    <row r="83" spans="1:21" x14ac:dyDescent="0.3">
      <c r="A83" s="2" t="s">
        <v>120</v>
      </c>
      <c r="E83" s="4" t="s">
        <v>9</v>
      </c>
      <c r="F83" s="15">
        <v>11.755754231671327</v>
      </c>
    </row>
    <row r="84" spans="1:21" x14ac:dyDescent="0.3">
      <c r="A84" s="2" t="s">
        <v>121</v>
      </c>
      <c r="E84" s="4" t="s">
        <v>7</v>
      </c>
      <c r="F84" s="15">
        <v>3.1740536425512582</v>
      </c>
    </row>
    <row r="85" spans="1:21" x14ac:dyDescent="0.3">
      <c r="A85" s="2" t="s">
        <v>116</v>
      </c>
      <c r="D85" s="2"/>
      <c r="E85" s="4" t="s">
        <v>9</v>
      </c>
      <c r="F85" s="21">
        <v>201.2424074074074</v>
      </c>
    </row>
    <row r="91" spans="1:21" x14ac:dyDescent="0.3">
      <c r="F91" s="7"/>
      <c r="G91" s="7"/>
    </row>
    <row r="92" spans="1:21" x14ac:dyDescent="0.3">
      <c r="F92" s="7"/>
      <c r="G92" s="7"/>
    </row>
    <row r="94" spans="1:21" x14ac:dyDescent="0.3">
      <c r="A94" s="3"/>
      <c r="B94" s="3"/>
      <c r="C94" s="3"/>
      <c r="I94" s="3"/>
      <c r="M94" s="7"/>
      <c r="N94" s="7"/>
      <c r="O94" s="7"/>
    </row>
    <row r="95" spans="1:21" x14ac:dyDescent="0.3">
      <c r="A95" s="3"/>
      <c r="B95" s="3"/>
      <c r="C95" s="3"/>
    </row>
    <row r="96" spans="1:21" x14ac:dyDescent="0.3">
      <c r="A96" s="3"/>
      <c r="B96" s="3"/>
      <c r="C96" s="3"/>
    </row>
    <row r="97" spans="1:9" x14ac:dyDescent="0.3">
      <c r="A97" s="3"/>
      <c r="B97" s="3"/>
      <c r="C97" s="3"/>
    </row>
    <row r="104" spans="1:9" x14ac:dyDescent="0.3">
      <c r="I104" s="3"/>
    </row>
    <row r="105" spans="1:9" x14ac:dyDescent="0.3">
      <c r="A105" s="3"/>
      <c r="I105" s="3"/>
    </row>
    <row r="106" spans="1:9" x14ac:dyDescent="0.3">
      <c r="I106" s="3"/>
    </row>
    <row r="107" spans="1:9" x14ac:dyDescent="0.3">
      <c r="I107" s="3"/>
    </row>
    <row r="108" spans="1:9" x14ac:dyDescent="0.3">
      <c r="I108" s="3"/>
    </row>
    <row r="109" spans="1:9" x14ac:dyDescent="0.3">
      <c r="I109" s="3"/>
    </row>
    <row r="110" spans="1:9" x14ac:dyDescent="0.3">
      <c r="I110" s="3"/>
    </row>
    <row r="111" spans="1:9" x14ac:dyDescent="0.3">
      <c r="I111" s="3"/>
    </row>
    <row r="112" spans="1:9" x14ac:dyDescent="0.3">
      <c r="I112" s="3"/>
    </row>
  </sheetData>
  <sheetProtection sheet="1"/>
  <mergeCells count="3">
    <mergeCell ref="C35:F35"/>
    <mergeCell ref="C36:D36"/>
    <mergeCell ref="T74:U74"/>
  </mergeCells>
  <dataValidations count="2">
    <dataValidation type="list" showInputMessage="1" showErrorMessage="1" sqref="C55:C58" xr:uid="{00000000-0002-0000-0500-000000000000}">
      <formula1>#REF!</formula1>
    </dataValidation>
    <dataValidation type="list" allowBlank="1" showInputMessage="1" showErrorMessage="1" sqref="C54" xr:uid="{00000000-0002-0000-0500-000001000000}">
      <formula1>#REF!</formula1>
    </dataValidation>
  </dataValidations>
  <pageMargins left="0.55118110236220474" right="0.23622047244094491" top="0.74803149606299213" bottom="0.39370078740157483" header="0.51181102362204722" footer="0.31496062992125984"/>
  <pageSetup paperSize="9" orientation="portrait" r:id="rId1"/>
  <headerFooter>
    <oddFooter>&amp;C
side &amp;P av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6"/>
  <dimension ref="A1:Q112"/>
  <sheetViews>
    <sheetView workbookViewId="0">
      <selection activeCell="A2" sqref="A2"/>
    </sheetView>
  </sheetViews>
  <sheetFormatPr baseColWidth="10" defaultColWidth="11.6640625" defaultRowHeight="13.8" x14ac:dyDescent="0.3"/>
  <cols>
    <col min="1" max="1" width="13.5546875" style="2" customWidth="1"/>
    <col min="2" max="2" width="7.6640625" style="2" customWidth="1"/>
    <col min="3" max="3" width="17.6640625" style="2" customWidth="1"/>
    <col min="4" max="4" width="17.6640625" style="3" customWidth="1"/>
    <col min="5" max="5" width="11.6640625" style="3"/>
    <col min="6" max="6" width="10.109375" style="3" customWidth="1"/>
    <col min="7" max="7" width="3.6640625" style="3" customWidth="1"/>
    <col min="8" max="8" width="8.5546875" style="3" customWidth="1"/>
    <col min="9" max="9" width="10.6640625" style="1" customWidth="1"/>
    <col min="10" max="11" width="10.6640625" style="3" customWidth="1"/>
    <col min="12" max="14" width="11.33203125" style="3" customWidth="1"/>
    <col min="15" max="15" width="2.33203125" style="3" customWidth="1"/>
    <col min="16" max="17" width="7.44140625" style="3" customWidth="1"/>
    <col min="18" max="16384" width="11.6640625" style="3"/>
  </cols>
  <sheetData>
    <row r="1" spans="1:10" ht="14.4" x14ac:dyDescent="0.3">
      <c r="A1" t="s">
        <v>84</v>
      </c>
      <c r="C1" t="s">
        <v>173</v>
      </c>
      <c r="H1" t="s">
        <v>288</v>
      </c>
    </row>
    <row r="2" spans="1:10" ht="14.4" x14ac:dyDescent="0.3">
      <c r="A2" s="3"/>
      <c r="B2"/>
      <c r="C2"/>
      <c r="D2"/>
      <c r="E2"/>
      <c r="F2"/>
      <c r="G2"/>
      <c r="H2"/>
      <c r="I2"/>
      <c r="J2"/>
    </row>
    <row r="3" spans="1:10" ht="14.4" x14ac:dyDescent="0.3">
      <c r="A3" t="s">
        <v>169</v>
      </c>
      <c r="B3"/>
      <c r="C3"/>
      <c r="D3"/>
      <c r="E3"/>
      <c r="F3" t="s">
        <v>171</v>
      </c>
      <c r="G3"/>
      <c r="H3"/>
      <c r="I3"/>
      <c r="J3"/>
    </row>
    <row r="4" spans="1:10" ht="14.4" x14ac:dyDescent="0.3">
      <c r="A4"/>
      <c r="B4"/>
      <c r="C4"/>
      <c r="D4"/>
      <c r="E4"/>
      <c r="F4" t="s">
        <v>183</v>
      </c>
      <c r="G4"/>
      <c r="H4"/>
      <c r="I4"/>
      <c r="J4"/>
    </row>
    <row r="5" spans="1:10" ht="14.4" x14ac:dyDescent="0.3">
      <c r="A5" s="12" t="s">
        <v>75</v>
      </c>
      <c r="B5" s="3"/>
      <c r="C5"/>
      <c r="D5"/>
      <c r="E5"/>
      <c r="F5"/>
      <c r="G5"/>
      <c r="H5"/>
      <c r="I5"/>
      <c r="J5"/>
    </row>
    <row r="6" spans="1:10" ht="14.4" x14ac:dyDescent="0.3">
      <c r="A6" s="34" t="s">
        <v>76</v>
      </c>
      <c r="B6"/>
      <c r="C6" s="3" t="s">
        <v>159</v>
      </c>
      <c r="D6"/>
      <c r="E6"/>
      <c r="F6"/>
      <c r="G6"/>
      <c r="H6"/>
      <c r="I6"/>
      <c r="J6"/>
    </row>
    <row r="7" spans="1:10" ht="14.4" x14ac:dyDescent="0.3">
      <c r="A7" s="24" t="s">
        <v>77</v>
      </c>
      <c r="B7"/>
      <c r="C7" s="3" t="s">
        <v>160</v>
      </c>
      <c r="D7"/>
      <c r="E7"/>
      <c r="F7"/>
      <c r="G7"/>
      <c r="H7"/>
      <c r="I7"/>
      <c r="J7"/>
    </row>
    <row r="8" spans="1:10" ht="14.4" x14ac:dyDescent="0.3">
      <c r="A8" s="34" t="s">
        <v>78</v>
      </c>
      <c r="B8"/>
      <c r="C8" s="3" t="s">
        <v>73</v>
      </c>
      <c r="D8"/>
      <c r="E8"/>
      <c r="F8"/>
      <c r="G8"/>
      <c r="H8"/>
      <c r="I8"/>
      <c r="J8"/>
    </row>
    <row r="9" spans="1:10" ht="14.4" x14ac:dyDescent="0.3">
      <c r="A9"/>
      <c r="B9"/>
      <c r="C9"/>
      <c r="D9"/>
      <c r="E9"/>
      <c r="F9"/>
      <c r="G9"/>
      <c r="H9"/>
      <c r="I9"/>
      <c r="J9"/>
    </row>
    <row r="10" spans="1:10" ht="14.4" x14ac:dyDescent="0.3">
      <c r="A10"/>
      <c r="B10"/>
      <c r="C10"/>
      <c r="D10"/>
      <c r="E10"/>
      <c r="F10"/>
      <c r="G10"/>
      <c r="H10"/>
      <c r="I10"/>
      <c r="J10"/>
    </row>
    <row r="11" spans="1:10" ht="14.4" x14ac:dyDescent="0.3">
      <c r="A11"/>
      <c r="B11"/>
      <c r="C11"/>
      <c r="D11"/>
      <c r="E11"/>
      <c r="F11"/>
      <c r="G11"/>
      <c r="H11"/>
      <c r="I11"/>
      <c r="J11"/>
    </row>
    <row r="12" spans="1:10" ht="14.4" x14ac:dyDescent="0.3">
      <c r="A12"/>
      <c r="B12"/>
      <c r="C12"/>
      <c r="D12"/>
      <c r="E12"/>
      <c r="F12"/>
      <c r="G12"/>
      <c r="H12"/>
      <c r="I12"/>
      <c r="J12"/>
    </row>
    <row r="13" spans="1:10" ht="14.4" x14ac:dyDescent="0.3">
      <c r="A13"/>
      <c r="B13"/>
      <c r="C13"/>
      <c r="D13"/>
      <c r="E13"/>
      <c r="F13"/>
      <c r="G13"/>
      <c r="H13"/>
      <c r="I13"/>
      <c r="J13"/>
    </row>
    <row r="14" spans="1:10" ht="14.4" x14ac:dyDescent="0.3">
      <c r="A14"/>
      <c r="B14"/>
      <c r="C14"/>
      <c r="D14"/>
      <c r="E14"/>
      <c r="F14"/>
      <c r="G14"/>
      <c r="H14"/>
      <c r="I14"/>
      <c r="J14"/>
    </row>
    <row r="15" spans="1:10" ht="14.4" x14ac:dyDescent="0.3">
      <c r="A15"/>
      <c r="B15"/>
      <c r="C15"/>
      <c r="D15"/>
      <c r="E15"/>
      <c r="F15"/>
      <c r="G15"/>
      <c r="H15"/>
      <c r="I15"/>
      <c r="J15"/>
    </row>
    <row r="16" spans="1:10" ht="14.4" x14ac:dyDescent="0.3">
      <c r="A16"/>
      <c r="B16"/>
      <c r="C16"/>
      <c r="D16"/>
      <c r="E16"/>
      <c r="F16"/>
      <c r="G16"/>
      <c r="H16"/>
      <c r="I16"/>
      <c r="J16"/>
    </row>
    <row r="17" spans="1:10" ht="14.4" x14ac:dyDescent="0.3">
      <c r="A17"/>
      <c r="B17"/>
      <c r="C17"/>
      <c r="D17"/>
      <c r="E17"/>
      <c r="F17"/>
      <c r="G17"/>
      <c r="H17"/>
      <c r="I17"/>
      <c r="J17"/>
    </row>
    <row r="18" spans="1:10" ht="14.4" x14ac:dyDescent="0.3">
      <c r="A18"/>
      <c r="B18"/>
      <c r="C18"/>
      <c r="D18"/>
      <c r="E18"/>
      <c r="F18"/>
      <c r="G18"/>
      <c r="H18"/>
      <c r="I18"/>
      <c r="J18"/>
    </row>
    <row r="19" spans="1:10" ht="14.4" x14ac:dyDescent="0.3">
      <c r="A19"/>
      <c r="B19"/>
      <c r="C19"/>
      <c r="D19"/>
      <c r="E19"/>
      <c r="F19"/>
      <c r="G19"/>
      <c r="H19"/>
      <c r="I19"/>
      <c r="J19"/>
    </row>
    <row r="20" spans="1:10" ht="14.4" x14ac:dyDescent="0.3">
      <c r="A20"/>
      <c r="B20"/>
      <c r="C20"/>
      <c r="D20"/>
      <c r="E20"/>
      <c r="F20"/>
      <c r="G20"/>
      <c r="H20"/>
      <c r="I20"/>
      <c r="J20"/>
    </row>
    <row r="21" spans="1:10" ht="14.4" x14ac:dyDescent="0.3">
      <c r="A21"/>
      <c r="B21"/>
      <c r="C21"/>
      <c r="D21"/>
      <c r="E21"/>
      <c r="F21"/>
      <c r="G21"/>
      <c r="H21"/>
      <c r="I21"/>
      <c r="J21"/>
    </row>
    <row r="22" spans="1:10" ht="14.4" x14ac:dyDescent="0.3">
      <c r="A22"/>
      <c r="B22"/>
      <c r="C22"/>
      <c r="D22"/>
      <c r="E22"/>
      <c r="F22"/>
      <c r="G22"/>
      <c r="H22"/>
      <c r="I22"/>
      <c r="J22"/>
    </row>
    <row r="23" spans="1:10" ht="14.4" x14ac:dyDescent="0.3">
      <c r="A23"/>
      <c r="B23"/>
      <c r="C23"/>
      <c r="D23"/>
      <c r="E23"/>
      <c r="F23"/>
      <c r="G23"/>
      <c r="H23"/>
      <c r="I23"/>
      <c r="J23"/>
    </row>
    <row r="24" spans="1:10" ht="14.4" x14ac:dyDescent="0.3">
      <c r="A24"/>
      <c r="B24"/>
      <c r="C24"/>
      <c r="D24"/>
      <c r="E24"/>
      <c r="F24"/>
      <c r="G24"/>
      <c r="H24"/>
      <c r="I24"/>
      <c r="J24"/>
    </row>
    <row r="25" spans="1:10" ht="14.4" x14ac:dyDescent="0.3">
      <c r="A25"/>
      <c r="B25"/>
      <c r="C25"/>
      <c r="D25"/>
      <c r="E25"/>
      <c r="F25"/>
      <c r="G25"/>
      <c r="H25"/>
      <c r="I25"/>
      <c r="J25"/>
    </row>
    <row r="26" spans="1:10" ht="14.4" x14ac:dyDescent="0.3">
      <c r="A26"/>
      <c r="B26"/>
      <c r="C26"/>
      <c r="D26"/>
      <c r="E26"/>
      <c r="F26"/>
      <c r="G26"/>
      <c r="H26"/>
      <c r="I26"/>
      <c r="J26"/>
    </row>
    <row r="27" spans="1:10" ht="14.4" x14ac:dyDescent="0.3">
      <c r="A27"/>
      <c r="B27"/>
      <c r="C27"/>
      <c r="D27"/>
      <c r="E27"/>
      <c r="F27"/>
      <c r="G27"/>
      <c r="H27"/>
      <c r="I27"/>
      <c r="J27"/>
    </row>
    <row r="28" spans="1:10" ht="14.4" x14ac:dyDescent="0.3">
      <c r="A28"/>
      <c r="B28"/>
      <c r="C28"/>
      <c r="D28"/>
      <c r="E28"/>
      <c r="F28"/>
      <c r="G28"/>
      <c r="H28"/>
      <c r="I28"/>
      <c r="J28"/>
    </row>
    <row r="29" spans="1:10" ht="14.4" x14ac:dyDescent="0.3">
      <c r="A29"/>
      <c r="B29"/>
      <c r="C29"/>
      <c r="D29"/>
      <c r="E29"/>
      <c r="F29"/>
      <c r="G29"/>
      <c r="H29"/>
      <c r="I29"/>
      <c r="J29"/>
    </row>
    <row r="30" spans="1:10" ht="14.4" x14ac:dyDescent="0.3">
      <c r="A30"/>
      <c r="B30"/>
      <c r="C30"/>
      <c r="D30"/>
      <c r="E30"/>
      <c r="F30"/>
      <c r="G30"/>
      <c r="H30"/>
      <c r="I30"/>
      <c r="J30"/>
    </row>
    <row r="32" spans="1:10" x14ac:dyDescent="0.3">
      <c r="A32" s="12" t="s">
        <v>40</v>
      </c>
      <c r="B32" s="12"/>
      <c r="F32" s="4"/>
    </row>
    <row r="33" spans="1:17" ht="14.4" thickBot="1" x14ac:dyDescent="0.35">
      <c r="A33" s="12"/>
      <c r="B33" s="12"/>
      <c r="F33" s="4"/>
    </row>
    <row r="34" spans="1:17" x14ac:dyDescent="0.3">
      <c r="A34" s="67" t="s">
        <v>110</v>
      </c>
      <c r="B34" s="44"/>
      <c r="C34" s="44"/>
      <c r="D34" s="44"/>
      <c r="E34" s="44"/>
      <c r="F34" s="102"/>
      <c r="H34" s="67" t="s">
        <v>112</v>
      </c>
      <c r="I34" s="68"/>
      <c r="J34" s="68"/>
      <c r="K34" s="68"/>
      <c r="L34" s="68"/>
      <c r="M34" s="69"/>
      <c r="N34" s="1"/>
      <c r="O34" s="1"/>
      <c r="P34" s="1"/>
      <c r="Q34" s="1"/>
    </row>
    <row r="35" spans="1:17" ht="41.4" customHeight="1" x14ac:dyDescent="0.3">
      <c r="A35" s="103" t="s">
        <v>37</v>
      </c>
      <c r="C35" s="167" t="s">
        <v>84</v>
      </c>
      <c r="D35" s="167"/>
      <c r="E35" s="167"/>
      <c r="F35" s="168"/>
      <c r="H35" s="70" t="s">
        <v>155</v>
      </c>
      <c r="I35" s="35" t="s">
        <v>60</v>
      </c>
      <c r="J35" s="35" t="s">
        <v>23</v>
      </c>
      <c r="K35" s="35" t="s">
        <v>22</v>
      </c>
      <c r="L35" s="35" t="s">
        <v>100</v>
      </c>
      <c r="M35" s="71" t="s">
        <v>101</v>
      </c>
      <c r="P35" s="35" t="s">
        <v>28</v>
      </c>
      <c r="Q35" s="35" t="s">
        <v>27</v>
      </c>
    </row>
    <row r="36" spans="1:17" ht="12" customHeight="1" thickBot="1" x14ac:dyDescent="0.35">
      <c r="A36" s="50" t="s">
        <v>38</v>
      </c>
      <c r="B36" s="51"/>
      <c r="C36" s="169" t="s">
        <v>70</v>
      </c>
      <c r="D36" s="169"/>
      <c r="E36" s="52" t="s">
        <v>39</v>
      </c>
      <c r="F36" s="124">
        <v>43061</v>
      </c>
      <c r="H36" s="72" t="s">
        <v>109</v>
      </c>
      <c r="I36" s="18"/>
      <c r="J36" s="18" t="s">
        <v>6</v>
      </c>
      <c r="K36" s="18" t="s">
        <v>6</v>
      </c>
      <c r="L36" s="18" t="s">
        <v>9</v>
      </c>
      <c r="M36" s="48" t="s">
        <v>9</v>
      </c>
      <c r="N36" s="18"/>
      <c r="O36" s="18"/>
      <c r="P36" s="18"/>
      <c r="Q36" s="1" t="s">
        <v>5</v>
      </c>
    </row>
    <row r="37" spans="1:17" ht="12" customHeight="1" x14ac:dyDescent="0.3">
      <c r="H37" s="117" t="s">
        <v>21</v>
      </c>
      <c r="I37" s="125">
        <v>2</v>
      </c>
      <c r="J37" s="125">
        <v>20</v>
      </c>
      <c r="K37" s="125">
        <v>5.5</v>
      </c>
      <c r="L37" s="125">
        <v>51</v>
      </c>
      <c r="M37" s="126">
        <v>189</v>
      </c>
      <c r="P37" s="1" t="s">
        <v>175</v>
      </c>
      <c r="Q37" s="13">
        <v>0.1228246596525656</v>
      </c>
    </row>
    <row r="38" spans="1:17" ht="12" customHeight="1" x14ac:dyDescent="0.3">
      <c r="A38" s="12" t="s">
        <v>31</v>
      </c>
      <c r="B38" s="12"/>
      <c r="D38" s="2"/>
      <c r="E38" s="2"/>
      <c r="F38" s="2"/>
      <c r="H38" s="117"/>
      <c r="I38" s="125"/>
      <c r="J38" s="125"/>
      <c r="K38" s="125"/>
      <c r="L38" s="125"/>
      <c r="M38" s="126"/>
      <c r="P38" s="1" t="s">
        <v>176</v>
      </c>
      <c r="Q38" s="13" t="s">
        <v>176</v>
      </c>
    </row>
    <row r="39" spans="1:17" ht="12" customHeight="1" x14ac:dyDescent="0.3">
      <c r="H39" s="117"/>
      <c r="I39" s="125"/>
      <c r="J39" s="125"/>
      <c r="K39" s="125"/>
      <c r="L39" s="125"/>
      <c r="M39" s="126"/>
      <c r="P39" s="1" t="s">
        <v>176</v>
      </c>
      <c r="Q39" s="13" t="s">
        <v>176</v>
      </c>
    </row>
    <row r="40" spans="1:17" ht="12" customHeight="1" x14ac:dyDescent="0.3">
      <c r="A40" s="22" t="s">
        <v>157</v>
      </c>
      <c r="B40" s="22"/>
      <c r="C40" s="22"/>
      <c r="D40" s="22"/>
      <c r="E40" s="23">
        <v>0.12838758818545698</v>
      </c>
      <c r="F40" s="22" t="s">
        <v>5</v>
      </c>
      <c r="H40" s="117"/>
      <c r="I40" s="125"/>
      <c r="J40" s="125"/>
      <c r="K40" s="125"/>
      <c r="L40" s="125"/>
      <c r="M40" s="126"/>
      <c r="P40" s="1" t="s">
        <v>176</v>
      </c>
      <c r="Q40" s="13" t="s">
        <v>176</v>
      </c>
    </row>
    <row r="41" spans="1:17" ht="12" customHeight="1" x14ac:dyDescent="0.3">
      <c r="A41" s="22" t="s">
        <v>43</v>
      </c>
      <c r="B41" s="22"/>
      <c r="C41" s="22"/>
      <c r="D41" s="22"/>
      <c r="E41" s="25">
        <v>0.12838758818545698</v>
      </c>
      <c r="F41" s="22" t="s">
        <v>5</v>
      </c>
      <c r="H41" s="117"/>
      <c r="I41" s="125"/>
      <c r="J41" s="125"/>
      <c r="K41" s="125"/>
      <c r="L41" s="125"/>
      <c r="M41" s="126"/>
      <c r="P41" s="1" t="s">
        <v>176</v>
      </c>
      <c r="Q41" s="13"/>
    </row>
    <row r="42" spans="1:17" ht="12" customHeight="1" x14ac:dyDescent="0.3">
      <c r="A42" s="3"/>
      <c r="B42" s="3"/>
      <c r="C42" s="3"/>
      <c r="F42" s="2"/>
      <c r="H42" s="117"/>
      <c r="I42" s="125"/>
      <c r="J42" s="125"/>
      <c r="K42" s="125"/>
      <c r="L42" s="125"/>
      <c r="M42" s="126"/>
      <c r="P42" s="1" t="s">
        <v>176</v>
      </c>
      <c r="Q42" s="13"/>
    </row>
    <row r="43" spans="1:17" ht="12" customHeight="1" thickBot="1" x14ac:dyDescent="0.35">
      <c r="A43" s="12" t="s">
        <v>115</v>
      </c>
      <c r="E43" s="1"/>
      <c r="F43" s="2"/>
      <c r="H43" s="127"/>
      <c r="I43" s="128"/>
      <c r="J43" s="128"/>
      <c r="K43" s="128"/>
      <c r="L43" s="128"/>
      <c r="M43" s="129"/>
      <c r="P43" s="1" t="s">
        <v>176</v>
      </c>
      <c r="Q43" s="13"/>
    </row>
    <row r="44" spans="1:17" ht="12" customHeight="1" thickBot="1" x14ac:dyDescent="0.35">
      <c r="A44" s="2" t="s">
        <v>0</v>
      </c>
      <c r="E44" s="15">
        <v>8.1</v>
      </c>
      <c r="F44" s="2" t="s">
        <v>7</v>
      </c>
      <c r="H44" s="7"/>
      <c r="I44" s="7"/>
      <c r="Q44" s="1"/>
    </row>
    <row r="45" spans="1:17" ht="12" customHeight="1" thickTop="1" x14ac:dyDescent="0.3">
      <c r="A45" s="2" t="s">
        <v>41</v>
      </c>
      <c r="E45" s="15">
        <v>29.216666666666665</v>
      </c>
      <c r="F45" s="2" t="s">
        <v>7</v>
      </c>
      <c r="H45" s="75" t="s">
        <v>228</v>
      </c>
      <c r="I45" s="76"/>
      <c r="J45" s="76"/>
      <c r="K45" s="76"/>
      <c r="L45" s="76"/>
      <c r="M45" s="76"/>
      <c r="N45" s="77"/>
    </row>
    <row r="46" spans="1:17" ht="12" customHeight="1" x14ac:dyDescent="0.3">
      <c r="A46" s="2" t="s">
        <v>1</v>
      </c>
      <c r="E46" s="15">
        <v>27</v>
      </c>
      <c r="F46" s="2" t="s">
        <v>7</v>
      </c>
      <c r="H46" s="78" t="s">
        <v>81</v>
      </c>
      <c r="I46" s="3"/>
      <c r="K46" s="1"/>
      <c r="L46" s="47" t="s">
        <v>66</v>
      </c>
      <c r="M46" s="47" t="s">
        <v>67</v>
      </c>
      <c r="N46" s="79" t="s">
        <v>68</v>
      </c>
    </row>
    <row r="47" spans="1:17" ht="12" customHeight="1" x14ac:dyDescent="0.3">
      <c r="A47" s="2" t="s">
        <v>2</v>
      </c>
      <c r="E47" s="15">
        <v>13.5</v>
      </c>
      <c r="F47" s="2" t="s">
        <v>7</v>
      </c>
      <c r="H47" s="78" t="s">
        <v>22</v>
      </c>
      <c r="I47" s="3"/>
      <c r="K47" s="1" t="s">
        <v>6</v>
      </c>
      <c r="L47" s="130">
        <v>5.5</v>
      </c>
      <c r="M47" s="130"/>
      <c r="N47" s="131"/>
    </row>
    <row r="48" spans="1:17" ht="12" customHeight="1" x14ac:dyDescent="0.3">
      <c r="A48" s="2" t="s">
        <v>58</v>
      </c>
      <c r="E48" s="15">
        <v>77.816666666666663</v>
      </c>
      <c r="F48" s="2" t="s">
        <v>7</v>
      </c>
      <c r="H48" s="81" t="s">
        <v>64</v>
      </c>
      <c r="I48" s="3"/>
      <c r="K48" s="1" t="s">
        <v>9</v>
      </c>
      <c r="L48" s="130">
        <v>51</v>
      </c>
      <c r="M48" s="130"/>
      <c r="N48" s="131"/>
    </row>
    <row r="49" spans="1:17" ht="12" customHeight="1" thickBot="1" x14ac:dyDescent="0.35">
      <c r="A49" s="2" t="s">
        <v>230</v>
      </c>
      <c r="E49" s="15">
        <v>270</v>
      </c>
      <c r="F49" s="2" t="s">
        <v>8</v>
      </c>
      <c r="H49" s="82" t="s">
        <v>65</v>
      </c>
      <c r="I49" s="83"/>
      <c r="J49" s="83"/>
      <c r="K49" s="84" t="s">
        <v>9</v>
      </c>
      <c r="L49" s="85">
        <v>188.5</v>
      </c>
      <c r="M49" s="85" t="s">
        <v>176</v>
      </c>
      <c r="N49" s="86" t="s">
        <v>176</v>
      </c>
    </row>
    <row r="50" spans="1:17" ht="12" customHeight="1" thickTop="1" thickBot="1" x14ac:dyDescent="0.35">
      <c r="I50" s="3"/>
    </row>
    <row r="51" spans="1:17" ht="12" customHeight="1" x14ac:dyDescent="0.3">
      <c r="A51" s="54" t="s">
        <v>111</v>
      </c>
      <c r="B51" s="55"/>
      <c r="C51" s="55"/>
      <c r="D51" s="44"/>
      <c r="E51" s="44"/>
      <c r="F51" s="45"/>
      <c r="H51" s="67" t="s">
        <v>113</v>
      </c>
      <c r="I51" s="68"/>
      <c r="J51" s="44"/>
      <c r="K51" s="44"/>
      <c r="L51" s="44"/>
      <c r="M51" s="44"/>
      <c r="N51" s="45"/>
    </row>
    <row r="52" spans="1:17" ht="41.4" customHeight="1" x14ac:dyDescent="0.3">
      <c r="A52" s="56" t="s">
        <v>18</v>
      </c>
      <c r="B52" s="16"/>
      <c r="C52" s="16" t="s">
        <v>4</v>
      </c>
      <c r="D52" s="17" t="s">
        <v>3</v>
      </c>
      <c r="E52" s="17" t="s">
        <v>14</v>
      </c>
      <c r="F52" s="57" t="s">
        <v>15</v>
      </c>
      <c r="G52" s="7"/>
      <c r="H52" s="70" t="s">
        <v>156</v>
      </c>
      <c r="I52" s="35" t="s">
        <v>59</v>
      </c>
      <c r="J52" s="35" t="s">
        <v>23</v>
      </c>
      <c r="K52" s="35" t="s">
        <v>22</v>
      </c>
      <c r="L52" s="35" t="s">
        <v>44</v>
      </c>
      <c r="M52" s="35" t="s">
        <v>45</v>
      </c>
      <c r="N52" s="71" t="s">
        <v>46</v>
      </c>
      <c r="O52" s="17"/>
      <c r="P52" s="35" t="s">
        <v>28</v>
      </c>
      <c r="Q52" s="35" t="s">
        <v>27</v>
      </c>
    </row>
    <row r="53" spans="1:17" ht="12" customHeight="1" x14ac:dyDescent="0.3">
      <c r="A53" s="46"/>
      <c r="D53" s="1" t="s">
        <v>9</v>
      </c>
      <c r="E53" s="1" t="s">
        <v>10</v>
      </c>
      <c r="F53" s="58" t="s">
        <v>11</v>
      </c>
      <c r="H53" s="72" t="s">
        <v>109</v>
      </c>
      <c r="I53" s="18"/>
      <c r="J53" s="18" t="s">
        <v>6</v>
      </c>
      <c r="K53" s="18" t="s">
        <v>6</v>
      </c>
      <c r="L53" s="18" t="s">
        <v>9</v>
      </c>
      <c r="M53" s="18" t="s">
        <v>9</v>
      </c>
      <c r="N53" s="48" t="s">
        <v>9</v>
      </c>
      <c r="O53" s="18"/>
      <c r="P53" s="19"/>
      <c r="Q53" s="1" t="s">
        <v>5</v>
      </c>
    </row>
    <row r="54" spans="1:17" ht="12" customHeight="1" x14ac:dyDescent="0.3">
      <c r="A54" s="117" t="s">
        <v>42</v>
      </c>
      <c r="B54" s="118"/>
      <c r="C54" s="118" t="s">
        <v>50</v>
      </c>
      <c r="D54" s="125">
        <v>5</v>
      </c>
      <c r="E54" s="125">
        <v>0.7</v>
      </c>
      <c r="F54" s="62">
        <v>7.1428571428571435E-3</v>
      </c>
      <c r="H54" s="117" t="s">
        <v>19</v>
      </c>
      <c r="I54" s="125">
        <v>4</v>
      </c>
      <c r="J54" s="125">
        <v>10</v>
      </c>
      <c r="K54" s="125">
        <v>1.25</v>
      </c>
      <c r="L54" s="125">
        <v>20</v>
      </c>
      <c r="M54" s="125">
        <v>51</v>
      </c>
      <c r="N54" s="126">
        <v>51</v>
      </c>
      <c r="O54" s="18"/>
      <c r="P54" s="1" t="s">
        <v>181</v>
      </c>
      <c r="Q54" s="13">
        <v>0.16174888494578268</v>
      </c>
    </row>
    <row r="55" spans="1:17" ht="12" customHeight="1" x14ac:dyDescent="0.3">
      <c r="A55" s="117" t="s">
        <v>16</v>
      </c>
      <c r="B55" s="118"/>
      <c r="C55" s="118" t="s">
        <v>48</v>
      </c>
      <c r="D55" s="125">
        <v>30</v>
      </c>
      <c r="E55" s="125">
        <v>3.5999999999999997E-2</v>
      </c>
      <c r="F55" s="62">
        <v>0.83333333333333337</v>
      </c>
      <c r="H55" s="117" t="s">
        <v>20</v>
      </c>
      <c r="I55" s="125">
        <v>8</v>
      </c>
      <c r="J55" s="125">
        <v>1.25</v>
      </c>
      <c r="K55" s="125">
        <v>5</v>
      </c>
      <c r="L55" s="125">
        <v>20</v>
      </c>
      <c r="M55" s="125">
        <v>145</v>
      </c>
      <c r="N55" s="126">
        <v>51</v>
      </c>
      <c r="O55" s="18"/>
      <c r="P55" s="1" t="s">
        <v>66</v>
      </c>
      <c r="Q55" s="13">
        <v>0.14398006251457551</v>
      </c>
    </row>
    <row r="56" spans="1:17" ht="12" customHeight="1" x14ac:dyDescent="0.3">
      <c r="A56" s="46" t="s">
        <v>51</v>
      </c>
      <c r="C56" s="118" t="s">
        <v>49</v>
      </c>
      <c r="D56" s="4" t="s">
        <v>114</v>
      </c>
      <c r="E56" s="125">
        <v>3.7999999999999999E-2</v>
      </c>
      <c r="F56" s="63"/>
      <c r="H56" s="117"/>
      <c r="I56" s="125"/>
      <c r="J56" s="125"/>
      <c r="K56" s="125"/>
      <c r="L56" s="125"/>
      <c r="M56" s="125"/>
      <c r="N56" s="126"/>
      <c r="O56" s="18"/>
      <c r="P56" s="1" t="s">
        <v>176</v>
      </c>
      <c r="Q56" s="13" t="s">
        <v>176</v>
      </c>
    </row>
    <row r="57" spans="1:17" ht="12" customHeight="1" x14ac:dyDescent="0.3">
      <c r="A57" s="117" t="s">
        <v>17</v>
      </c>
      <c r="B57" s="118"/>
      <c r="C57" s="118" t="s">
        <v>49</v>
      </c>
      <c r="D57" s="125">
        <v>100</v>
      </c>
      <c r="E57" s="125">
        <v>3.7999999999999999E-2</v>
      </c>
      <c r="F57" s="62">
        <v>2.6315789473684212</v>
      </c>
      <c r="H57" s="117"/>
      <c r="I57" s="125"/>
      <c r="J57" s="125"/>
      <c r="K57" s="125"/>
      <c r="L57" s="125"/>
      <c r="M57" s="125"/>
      <c r="N57" s="126"/>
      <c r="O57" s="18"/>
      <c r="P57" s="1" t="s">
        <v>176</v>
      </c>
      <c r="Q57" s="13" t="s">
        <v>176</v>
      </c>
    </row>
    <row r="58" spans="1:17" ht="12" customHeight="1" x14ac:dyDescent="0.3">
      <c r="A58" s="117" t="s">
        <v>12</v>
      </c>
      <c r="B58" s="118"/>
      <c r="C58" s="118" t="s">
        <v>107</v>
      </c>
      <c r="D58" s="125">
        <v>50</v>
      </c>
      <c r="E58" s="125">
        <v>3.5999999999999997E-2</v>
      </c>
      <c r="F58" s="62">
        <v>1.3888888888888891</v>
      </c>
      <c r="H58" s="117"/>
      <c r="I58" s="125"/>
      <c r="J58" s="125"/>
      <c r="K58" s="125"/>
      <c r="L58" s="125"/>
      <c r="M58" s="125"/>
      <c r="N58" s="126"/>
      <c r="O58" s="18"/>
      <c r="P58" s="1" t="s">
        <v>176</v>
      </c>
      <c r="Q58" s="13" t="s">
        <v>176</v>
      </c>
    </row>
    <row r="59" spans="1:17" ht="12" customHeight="1" x14ac:dyDescent="0.3">
      <c r="A59" s="117"/>
      <c r="B59" s="118"/>
      <c r="C59" s="118"/>
      <c r="D59" s="125"/>
      <c r="E59" s="125"/>
      <c r="F59" s="62" t="s">
        <v>176</v>
      </c>
      <c r="H59" s="117"/>
      <c r="I59" s="125"/>
      <c r="J59" s="125"/>
      <c r="K59" s="125"/>
      <c r="L59" s="125"/>
      <c r="M59" s="125"/>
      <c r="N59" s="126"/>
      <c r="O59" s="18"/>
      <c r="P59" s="1" t="s">
        <v>176</v>
      </c>
      <c r="Q59" s="13" t="s">
        <v>176</v>
      </c>
    </row>
    <row r="60" spans="1:17" ht="12" customHeight="1" thickBot="1" x14ac:dyDescent="0.35">
      <c r="A60" s="117" t="s">
        <v>13</v>
      </c>
      <c r="B60" s="118"/>
      <c r="C60" s="118" t="s">
        <v>47</v>
      </c>
      <c r="D60" s="125">
        <v>270</v>
      </c>
      <c r="E60" s="125">
        <v>2.2999999999999998</v>
      </c>
      <c r="F60" s="62">
        <v>0.1173913043478261</v>
      </c>
      <c r="H60" s="127"/>
      <c r="I60" s="128"/>
      <c r="J60" s="128"/>
      <c r="K60" s="128"/>
      <c r="L60" s="128"/>
      <c r="M60" s="128"/>
      <c r="N60" s="129"/>
      <c r="O60" s="18"/>
      <c r="P60" s="1" t="s">
        <v>176</v>
      </c>
      <c r="Q60" s="13" t="s">
        <v>176</v>
      </c>
    </row>
    <row r="61" spans="1:17" s="7" customFormat="1" ht="12" customHeight="1" thickBot="1" x14ac:dyDescent="0.35">
      <c r="A61" s="46" t="s">
        <v>152</v>
      </c>
      <c r="B61" s="2"/>
      <c r="C61" s="2"/>
      <c r="D61" s="2"/>
      <c r="E61" s="2"/>
      <c r="F61" s="126"/>
      <c r="G61" s="3"/>
      <c r="H61" s="2"/>
      <c r="I61" s="2"/>
      <c r="J61" s="2"/>
      <c r="K61" s="2"/>
      <c r="L61" s="3"/>
      <c r="M61" s="3"/>
      <c r="N61" s="3"/>
      <c r="O61" s="18"/>
      <c r="P61" s="3"/>
      <c r="Q61" s="3"/>
    </row>
    <row r="62" spans="1:17" ht="12" customHeight="1" thickTop="1" thickBot="1" x14ac:dyDescent="0.35">
      <c r="A62" s="50" t="s">
        <v>239</v>
      </c>
      <c r="D62" s="2"/>
      <c r="E62" s="2"/>
      <c r="F62" s="126"/>
      <c r="H62" s="75" t="s">
        <v>229</v>
      </c>
      <c r="I62" s="76"/>
      <c r="J62" s="76"/>
      <c r="K62" s="76"/>
      <c r="L62" s="76"/>
      <c r="M62" s="76"/>
      <c r="N62" s="77"/>
      <c r="O62" s="18"/>
    </row>
    <row r="63" spans="1:17" ht="12" customHeight="1" x14ac:dyDescent="0.3">
      <c r="A63" s="46"/>
      <c r="F63" s="49"/>
      <c r="H63" s="78" t="s">
        <v>80</v>
      </c>
      <c r="I63" s="3"/>
      <c r="K63" s="1"/>
      <c r="L63" s="47" t="s">
        <v>66</v>
      </c>
      <c r="M63" s="47" t="s">
        <v>67</v>
      </c>
      <c r="N63" s="79" t="s">
        <v>68</v>
      </c>
      <c r="O63" s="18"/>
    </row>
    <row r="64" spans="1:17" ht="12" customHeight="1" x14ac:dyDescent="0.3">
      <c r="A64" s="65" t="s">
        <v>61</v>
      </c>
      <c r="D64" s="2"/>
      <c r="E64" s="4" t="s">
        <v>8</v>
      </c>
      <c r="F64" s="132">
        <v>270</v>
      </c>
      <c r="H64" s="78" t="s">
        <v>22</v>
      </c>
      <c r="I64" s="3"/>
      <c r="K64" s="1" t="s">
        <v>6</v>
      </c>
      <c r="L64" s="130">
        <v>5</v>
      </c>
      <c r="M64" s="130"/>
      <c r="N64" s="131"/>
      <c r="O64" s="18"/>
    </row>
    <row r="65" spans="1:16" ht="12" customHeight="1" thickBot="1" x14ac:dyDescent="0.35">
      <c r="A65" s="105" t="s">
        <v>62</v>
      </c>
      <c r="B65" s="51"/>
      <c r="C65" s="51"/>
      <c r="D65" s="51"/>
      <c r="E65" s="52" t="s">
        <v>8</v>
      </c>
      <c r="F65" s="133">
        <v>0</v>
      </c>
      <c r="H65" s="81" t="s">
        <v>64</v>
      </c>
      <c r="I65" s="3"/>
      <c r="K65" s="1" t="s">
        <v>9</v>
      </c>
      <c r="L65" s="130">
        <v>20</v>
      </c>
      <c r="M65" s="130"/>
      <c r="N65" s="131"/>
      <c r="O65" s="18"/>
    </row>
    <row r="66" spans="1:16" ht="12" customHeight="1" x14ac:dyDescent="0.3">
      <c r="A66" s="2" t="s">
        <v>69</v>
      </c>
      <c r="D66" s="5" t="s">
        <v>177</v>
      </c>
      <c r="E66" s="4"/>
      <c r="F66" s="4"/>
      <c r="H66" s="81" t="s">
        <v>65</v>
      </c>
      <c r="I66" s="3"/>
      <c r="K66" s="1" t="s">
        <v>9</v>
      </c>
      <c r="L66" s="21">
        <v>145</v>
      </c>
      <c r="M66" s="21" t="s">
        <v>176</v>
      </c>
      <c r="N66" s="98" t="s">
        <v>176</v>
      </c>
      <c r="O66" s="18"/>
    </row>
    <row r="67" spans="1:16" ht="12" customHeight="1" x14ac:dyDescent="0.3">
      <c r="A67" s="3"/>
      <c r="B67" s="3"/>
      <c r="C67" s="3"/>
      <c r="H67" s="81" t="s">
        <v>180</v>
      </c>
      <c r="K67" s="1" t="s">
        <v>9</v>
      </c>
      <c r="L67" s="21">
        <v>51.25</v>
      </c>
      <c r="M67" s="21" t="s">
        <v>176</v>
      </c>
      <c r="N67" s="99"/>
      <c r="O67" s="21"/>
    </row>
    <row r="68" spans="1:16" ht="12" customHeight="1" x14ac:dyDescent="0.3">
      <c r="H68" s="81" t="s">
        <v>23</v>
      </c>
      <c r="K68" s="1" t="s">
        <v>6</v>
      </c>
      <c r="L68" s="1">
        <v>1.25</v>
      </c>
      <c r="M68" s="1" t="s">
        <v>176</v>
      </c>
      <c r="N68" s="99"/>
    </row>
    <row r="69" spans="1:16" ht="12" customHeight="1" x14ac:dyDescent="0.3">
      <c r="H69" s="100" t="s">
        <v>71</v>
      </c>
      <c r="N69" s="99"/>
    </row>
    <row r="70" spans="1:16" ht="12" customHeight="1" thickBot="1" x14ac:dyDescent="0.35">
      <c r="H70" s="82" t="s">
        <v>82</v>
      </c>
      <c r="I70" s="84"/>
      <c r="J70" s="83"/>
      <c r="K70" s="83"/>
      <c r="L70" s="83"/>
      <c r="M70" s="83"/>
      <c r="N70" s="101"/>
    </row>
    <row r="71" spans="1:16" ht="12" customHeight="1" thickTop="1" x14ac:dyDescent="0.3"/>
    <row r="72" spans="1:16" ht="12" customHeight="1" x14ac:dyDescent="0.3">
      <c r="A72" s="5" t="s">
        <v>122</v>
      </c>
      <c r="B72" s="3"/>
      <c r="C72" s="3"/>
    </row>
    <row r="73" spans="1:16" ht="12" customHeight="1" x14ac:dyDescent="0.3">
      <c r="A73" s="2" t="s">
        <v>35</v>
      </c>
      <c r="D73" s="2"/>
      <c r="E73" s="1" t="s">
        <v>11</v>
      </c>
      <c r="F73" s="1">
        <v>0.04</v>
      </c>
    </row>
    <row r="74" spans="1:16" ht="12" customHeight="1" x14ac:dyDescent="0.3">
      <c r="A74" s="2" t="s">
        <v>34</v>
      </c>
      <c r="D74" s="2"/>
      <c r="E74" s="1" t="s">
        <v>11</v>
      </c>
      <c r="F74" s="14">
        <v>0.1</v>
      </c>
    </row>
    <row r="75" spans="1:16" ht="12" customHeight="1" x14ac:dyDescent="0.3">
      <c r="A75" s="3"/>
      <c r="B75" s="3"/>
      <c r="C75" s="3"/>
    </row>
    <row r="76" spans="1:16" ht="12" customHeight="1" x14ac:dyDescent="0.3"/>
    <row r="77" spans="1:16" x14ac:dyDescent="0.3">
      <c r="A77" s="5" t="s">
        <v>123</v>
      </c>
      <c r="B77" s="3"/>
      <c r="C77" s="3"/>
      <c r="I77" s="3"/>
    </row>
    <row r="78" spans="1:16" x14ac:dyDescent="0.3">
      <c r="A78" s="2" t="s">
        <v>185</v>
      </c>
      <c r="D78" s="1"/>
      <c r="E78" s="1" t="s">
        <v>11</v>
      </c>
      <c r="F78" s="13">
        <v>5.1183353310813269</v>
      </c>
      <c r="I78" s="3"/>
      <c r="P78" s="27"/>
    </row>
    <row r="79" spans="1:16" x14ac:dyDescent="0.3">
      <c r="A79" s="2" t="s">
        <v>63</v>
      </c>
      <c r="D79" s="2"/>
      <c r="E79" s="4" t="s">
        <v>5</v>
      </c>
      <c r="F79" s="13">
        <v>0.19537602273290966</v>
      </c>
      <c r="I79" s="3"/>
    </row>
    <row r="80" spans="1:16" x14ac:dyDescent="0.3">
      <c r="A80" s="2" t="s">
        <v>117</v>
      </c>
      <c r="D80" s="2"/>
      <c r="E80" s="4" t="s">
        <v>5</v>
      </c>
      <c r="F80" s="13">
        <v>0.12838758818545698</v>
      </c>
      <c r="I80" s="3"/>
    </row>
    <row r="81" spans="1:15" x14ac:dyDescent="0.3">
      <c r="A81" s="2" t="s">
        <v>124</v>
      </c>
      <c r="D81" s="2"/>
      <c r="E81" s="4" t="s">
        <v>5</v>
      </c>
      <c r="F81" s="13">
        <v>0.12553409010324967</v>
      </c>
      <c r="I81" s="3"/>
    </row>
    <row r="82" spans="1:15" x14ac:dyDescent="0.3">
      <c r="A82" s="2" t="s">
        <v>119</v>
      </c>
      <c r="E82" s="4" t="s">
        <v>118</v>
      </c>
      <c r="F82" s="15">
        <v>-2.2225653760902522</v>
      </c>
      <c r="I82" s="3"/>
    </row>
    <row r="83" spans="1:15" x14ac:dyDescent="0.3">
      <c r="A83" s="2" t="s">
        <v>120</v>
      </c>
      <c r="E83" s="4" t="s">
        <v>9</v>
      </c>
      <c r="F83" s="15">
        <v>6.7278525077901179</v>
      </c>
    </row>
    <row r="84" spans="1:15" x14ac:dyDescent="0.3">
      <c r="A84" s="2" t="s">
        <v>121</v>
      </c>
      <c r="E84" s="4" t="s">
        <v>7</v>
      </c>
      <c r="F84" s="15">
        <v>1.8165201771033319</v>
      </c>
    </row>
    <row r="85" spans="1:15" x14ac:dyDescent="0.3">
      <c r="A85" s="2" t="s">
        <v>116</v>
      </c>
      <c r="D85" s="2"/>
      <c r="E85" s="4" t="s">
        <v>9</v>
      </c>
      <c r="F85" s="21">
        <v>108.20987654320987</v>
      </c>
    </row>
    <row r="91" spans="1:15" x14ac:dyDescent="0.3">
      <c r="F91" s="7"/>
      <c r="G91" s="7"/>
    </row>
    <row r="92" spans="1:15" x14ac:dyDescent="0.3">
      <c r="F92" s="7"/>
      <c r="G92" s="7"/>
    </row>
    <row r="94" spans="1:15" x14ac:dyDescent="0.3">
      <c r="A94" s="3"/>
      <c r="B94" s="3"/>
      <c r="C94" s="3"/>
      <c r="I94" s="3"/>
      <c r="M94" s="7"/>
      <c r="N94" s="7"/>
      <c r="O94" s="7"/>
    </row>
    <row r="95" spans="1:15" x14ac:dyDescent="0.3">
      <c r="A95" s="3"/>
      <c r="B95" s="3"/>
      <c r="C95" s="3"/>
    </row>
    <row r="96" spans="1:15" x14ac:dyDescent="0.3">
      <c r="A96" s="3"/>
      <c r="B96" s="3"/>
      <c r="C96" s="3"/>
    </row>
    <row r="97" spans="1:9" x14ac:dyDescent="0.3">
      <c r="A97" s="3"/>
      <c r="B97" s="3"/>
      <c r="C97" s="3"/>
    </row>
    <row r="104" spans="1:9" x14ac:dyDescent="0.3">
      <c r="I104" s="3"/>
    </row>
    <row r="105" spans="1:9" x14ac:dyDescent="0.3">
      <c r="A105" s="3"/>
      <c r="I105" s="3"/>
    </row>
    <row r="106" spans="1:9" x14ac:dyDescent="0.3">
      <c r="I106" s="3"/>
    </row>
    <row r="107" spans="1:9" x14ac:dyDescent="0.3">
      <c r="I107" s="3"/>
    </row>
    <row r="108" spans="1:9" x14ac:dyDescent="0.3">
      <c r="I108" s="3"/>
    </row>
    <row r="109" spans="1:9" x14ac:dyDescent="0.3">
      <c r="I109" s="3"/>
    </row>
    <row r="110" spans="1:9" x14ac:dyDescent="0.3">
      <c r="I110" s="3"/>
    </row>
    <row r="111" spans="1:9" x14ac:dyDescent="0.3">
      <c r="I111" s="3"/>
    </row>
    <row r="112" spans="1:9" x14ac:dyDescent="0.3">
      <c r="I112" s="3"/>
    </row>
  </sheetData>
  <sheetProtection sheet="1"/>
  <mergeCells count="2">
    <mergeCell ref="C35:F35"/>
    <mergeCell ref="C36:D36"/>
  </mergeCells>
  <dataValidations count="2">
    <dataValidation type="list" showInputMessage="1" showErrorMessage="1" sqref="C55:C58" xr:uid="{00000000-0002-0000-0600-000000000000}">
      <formula1>#REF!</formula1>
    </dataValidation>
    <dataValidation type="list" allowBlank="1" showInputMessage="1" showErrorMessage="1" sqref="C54" xr:uid="{00000000-0002-0000-0600-000001000000}">
      <formula1>#REF!</formula1>
    </dataValidation>
  </dataValidations>
  <pageMargins left="0.55118110236220474" right="0.23622047244094491" top="0.74803149606299213" bottom="0.39370078740157483" header="0.51181102362204722" footer="0.31496062992125984"/>
  <pageSetup paperSize="9" orientation="portrait" r:id="rId1"/>
  <headerFooter>
    <oddFooter>&amp;C
side &amp;P av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7"/>
  <dimension ref="A1:Q117"/>
  <sheetViews>
    <sheetView workbookViewId="0">
      <selection activeCell="A2" sqref="A2"/>
    </sheetView>
  </sheetViews>
  <sheetFormatPr baseColWidth="10" defaultColWidth="11.6640625" defaultRowHeight="13.8" x14ac:dyDescent="0.3"/>
  <cols>
    <col min="1" max="1" width="13.5546875" style="2" customWidth="1"/>
    <col min="2" max="2" width="7.6640625" style="2" customWidth="1"/>
    <col min="3" max="3" width="17.6640625" style="2" customWidth="1"/>
    <col min="4" max="4" width="17.6640625" style="3" customWidth="1"/>
    <col min="5" max="5" width="11.6640625" style="3"/>
    <col min="6" max="6" width="10.109375" style="3" customWidth="1"/>
    <col min="7" max="7" width="3.6640625" style="3" customWidth="1"/>
    <col min="8" max="8" width="8.5546875" style="3" customWidth="1"/>
    <col min="9" max="9" width="10.6640625" style="1" customWidth="1"/>
    <col min="10" max="11" width="10.6640625" style="3" customWidth="1"/>
    <col min="12" max="14" width="11.33203125" style="3" customWidth="1"/>
    <col min="15" max="15" width="2.33203125" style="3" customWidth="1"/>
    <col min="16" max="17" width="7.44140625" style="3" customWidth="1"/>
    <col min="18" max="16384" width="11.6640625" style="3"/>
  </cols>
  <sheetData>
    <row r="1" spans="1:13" ht="14.4" x14ac:dyDescent="0.3">
      <c r="A1" t="s">
        <v>83</v>
      </c>
      <c r="B1"/>
      <c r="C1" t="s">
        <v>173</v>
      </c>
      <c r="D1"/>
      <c r="E1"/>
      <c r="F1"/>
      <c r="G1"/>
      <c r="H1" t="s">
        <v>288</v>
      </c>
      <c r="I1"/>
      <c r="J1"/>
      <c r="K1"/>
      <c r="L1"/>
      <c r="M1"/>
    </row>
    <row r="2" spans="1:13" ht="14.4" x14ac:dyDescent="0.3">
      <c r="A2"/>
      <c r="B2"/>
      <c r="C2"/>
      <c r="D2"/>
      <c r="E2"/>
      <c r="F2"/>
      <c r="G2"/>
      <c r="H2"/>
      <c r="I2"/>
      <c r="J2"/>
      <c r="K2"/>
      <c r="L2"/>
      <c r="M2"/>
    </row>
    <row r="3" spans="1:13" ht="14.4" x14ac:dyDescent="0.3">
      <c r="A3" t="s">
        <v>169</v>
      </c>
      <c r="B3"/>
      <c r="C3"/>
      <c r="D3"/>
      <c r="E3"/>
      <c r="F3" t="s">
        <v>170</v>
      </c>
      <c r="G3"/>
      <c r="H3"/>
      <c r="I3"/>
      <c r="J3"/>
      <c r="K3"/>
      <c r="L3"/>
      <c r="M3"/>
    </row>
    <row r="4" spans="1:13" ht="14.4" x14ac:dyDescent="0.3">
      <c r="A4"/>
      <c r="B4"/>
      <c r="C4"/>
      <c r="D4"/>
      <c r="E4"/>
      <c r="F4" t="s">
        <v>184</v>
      </c>
      <c r="G4"/>
      <c r="H4"/>
      <c r="I4"/>
      <c r="J4"/>
      <c r="K4"/>
      <c r="L4"/>
      <c r="M4"/>
    </row>
    <row r="5" spans="1:13" ht="14.4" x14ac:dyDescent="0.3">
      <c r="A5" s="12" t="s">
        <v>172</v>
      </c>
      <c r="B5"/>
      <c r="C5"/>
      <c r="D5"/>
      <c r="E5"/>
      <c r="F5"/>
      <c r="G5"/>
      <c r="H5"/>
      <c r="I5"/>
      <c r="J5"/>
      <c r="K5"/>
      <c r="L5"/>
      <c r="M5"/>
    </row>
    <row r="6" spans="1:13" ht="14.4" x14ac:dyDescent="0.3">
      <c r="A6" s="34" t="s">
        <v>76</v>
      </c>
      <c r="B6"/>
      <c r="C6" s="3" t="s">
        <v>162</v>
      </c>
      <c r="D6"/>
      <c r="E6"/>
      <c r="F6"/>
      <c r="G6"/>
      <c r="H6"/>
      <c r="I6"/>
      <c r="J6"/>
      <c r="K6"/>
      <c r="L6"/>
      <c r="M6"/>
    </row>
    <row r="7" spans="1:13" ht="14.4" x14ac:dyDescent="0.3">
      <c r="A7" s="34" t="s">
        <v>77</v>
      </c>
      <c r="B7"/>
      <c r="C7" s="3" t="s">
        <v>163</v>
      </c>
      <c r="D7"/>
      <c r="E7"/>
      <c r="F7"/>
      <c r="G7"/>
      <c r="H7"/>
      <c r="I7"/>
      <c r="J7"/>
      <c r="K7"/>
      <c r="L7"/>
      <c r="M7"/>
    </row>
    <row r="8" spans="1:13" ht="14.4" x14ac:dyDescent="0.3">
      <c r="A8" s="34" t="s">
        <v>78</v>
      </c>
      <c r="B8"/>
      <c r="C8" s="3" t="s">
        <v>164</v>
      </c>
      <c r="D8"/>
      <c r="E8"/>
      <c r="F8"/>
      <c r="G8"/>
      <c r="H8"/>
      <c r="I8"/>
      <c r="J8"/>
      <c r="K8"/>
      <c r="L8"/>
      <c r="M8"/>
    </row>
    <row r="9" spans="1:13" ht="14.4" x14ac:dyDescent="0.3">
      <c r="A9" s="34" t="s">
        <v>165</v>
      </c>
      <c r="B9"/>
      <c r="C9" s="3" t="s">
        <v>166</v>
      </c>
      <c r="D9"/>
      <c r="E9"/>
      <c r="F9"/>
      <c r="G9"/>
      <c r="H9"/>
      <c r="I9"/>
      <c r="J9"/>
      <c r="K9"/>
      <c r="L9"/>
      <c r="M9"/>
    </row>
    <row r="10" spans="1:13" ht="14.4" x14ac:dyDescent="0.3">
      <c r="A10" s="3" t="s">
        <v>167</v>
      </c>
      <c r="B10"/>
      <c r="C10"/>
      <c r="D10"/>
      <c r="E10"/>
      <c r="F10"/>
      <c r="G10"/>
      <c r="H10"/>
      <c r="I10"/>
      <c r="J10"/>
      <c r="K10"/>
      <c r="L10"/>
      <c r="M10"/>
    </row>
    <row r="11" spans="1:13" ht="14.4" x14ac:dyDescent="0.3">
      <c r="A11" s="3" t="s">
        <v>168</v>
      </c>
      <c r="B11"/>
      <c r="C11"/>
      <c r="D11"/>
      <c r="E11"/>
      <c r="F11"/>
      <c r="G11"/>
      <c r="H11"/>
      <c r="I11"/>
      <c r="J11"/>
      <c r="K11"/>
      <c r="L11"/>
      <c r="M11"/>
    </row>
    <row r="12" spans="1:13" ht="14.4" x14ac:dyDescent="0.3">
      <c r="A12"/>
      <c r="B12"/>
      <c r="C12"/>
      <c r="D12"/>
      <c r="E12"/>
      <c r="F12"/>
      <c r="G12"/>
      <c r="H12"/>
      <c r="I12"/>
      <c r="J12"/>
      <c r="K12"/>
      <c r="L12"/>
      <c r="M12"/>
    </row>
    <row r="13" spans="1:13" ht="14.4" x14ac:dyDescent="0.3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 ht="14.4" x14ac:dyDescent="0.3">
      <c r="A14"/>
      <c r="B14"/>
      <c r="C14"/>
      <c r="D14"/>
      <c r="E14"/>
      <c r="F14"/>
      <c r="G14"/>
      <c r="H14"/>
      <c r="I14"/>
      <c r="J14"/>
      <c r="K14"/>
      <c r="L14"/>
      <c r="M14"/>
    </row>
    <row r="15" spans="1:13" ht="14.4" x14ac:dyDescent="0.3">
      <c r="A15"/>
      <c r="B15"/>
      <c r="C15"/>
      <c r="D15"/>
      <c r="E15"/>
      <c r="F15"/>
      <c r="G15"/>
      <c r="H15"/>
      <c r="I15"/>
      <c r="J15"/>
      <c r="K15"/>
      <c r="L15"/>
      <c r="M15"/>
    </row>
    <row r="16" spans="1:13" ht="14.4" x14ac:dyDescent="0.3">
      <c r="A16"/>
      <c r="B16"/>
      <c r="C16"/>
      <c r="D16"/>
      <c r="E16"/>
      <c r="F16"/>
      <c r="G16"/>
      <c r="H16"/>
      <c r="I16"/>
      <c r="J16"/>
      <c r="K16"/>
      <c r="L16"/>
      <c r="M16"/>
    </row>
    <row r="17" spans="1:13" ht="14.4" x14ac:dyDescent="0.3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14.4" x14ac:dyDescent="0.3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ht="14.4" x14ac:dyDescent="0.3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ht="14.4" x14ac:dyDescent="0.3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ht="14.4" x14ac:dyDescent="0.3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ht="14.4" x14ac:dyDescent="0.3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ht="14.4" x14ac:dyDescent="0.3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ht="14.4" x14ac:dyDescent="0.3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ht="14.4" x14ac:dyDescent="0.3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ht="14.4" x14ac:dyDescent="0.3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ht="14.4" x14ac:dyDescent="0.3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ht="14.4" x14ac:dyDescent="0.3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ht="14.4" x14ac:dyDescent="0.3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ht="14.4" x14ac:dyDescent="0.3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ht="14.4" x14ac:dyDescent="0.3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ht="14.4" x14ac:dyDescent="0.3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7" ht="14.4" x14ac:dyDescent="0.3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7" ht="14.4" x14ac:dyDescent="0.3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7" ht="14.4" x14ac:dyDescent="0.3">
      <c r="A35"/>
      <c r="B35"/>
      <c r="C35"/>
      <c r="D35"/>
      <c r="E35"/>
      <c r="F35"/>
      <c r="G35"/>
      <c r="H35"/>
      <c r="I35"/>
      <c r="J35"/>
      <c r="K35"/>
      <c r="L35"/>
      <c r="M35"/>
    </row>
    <row r="37" spans="1:17" x14ac:dyDescent="0.3">
      <c r="A37" s="12" t="s">
        <v>40</v>
      </c>
      <c r="B37" s="12"/>
      <c r="F37" s="4"/>
    </row>
    <row r="38" spans="1:17" ht="14.4" thickBot="1" x14ac:dyDescent="0.35">
      <c r="A38" s="12"/>
      <c r="B38" s="12"/>
      <c r="F38" s="4"/>
    </row>
    <row r="39" spans="1:17" x14ac:dyDescent="0.3">
      <c r="A39" s="67" t="s">
        <v>110</v>
      </c>
      <c r="B39" s="44"/>
      <c r="C39" s="44"/>
      <c r="D39" s="44"/>
      <c r="E39" s="44"/>
      <c r="F39" s="102"/>
      <c r="H39" s="67" t="s">
        <v>112</v>
      </c>
      <c r="I39" s="68"/>
      <c r="J39" s="68"/>
      <c r="K39" s="68"/>
      <c r="L39" s="68"/>
      <c r="M39" s="69"/>
      <c r="N39" s="1"/>
      <c r="O39" s="1"/>
      <c r="P39" s="1"/>
      <c r="Q39" s="1"/>
    </row>
    <row r="40" spans="1:17" ht="41.4" customHeight="1" x14ac:dyDescent="0.3">
      <c r="A40" s="103" t="s">
        <v>37</v>
      </c>
      <c r="C40" s="167" t="s">
        <v>83</v>
      </c>
      <c r="D40" s="167"/>
      <c r="E40" s="167"/>
      <c r="F40" s="168"/>
      <c r="H40" s="70" t="s">
        <v>155</v>
      </c>
      <c r="I40" s="35" t="s">
        <v>60</v>
      </c>
      <c r="J40" s="35" t="s">
        <v>23</v>
      </c>
      <c r="K40" s="35" t="s">
        <v>22</v>
      </c>
      <c r="L40" s="35" t="s">
        <v>100</v>
      </c>
      <c r="M40" s="71" t="s">
        <v>101</v>
      </c>
      <c r="P40" s="35" t="s">
        <v>28</v>
      </c>
      <c r="Q40" s="35" t="s">
        <v>27</v>
      </c>
    </row>
    <row r="41" spans="1:17" ht="12" customHeight="1" thickBot="1" x14ac:dyDescent="0.35">
      <c r="A41" s="50" t="s">
        <v>38</v>
      </c>
      <c r="B41" s="51"/>
      <c r="C41" s="169" t="s">
        <v>70</v>
      </c>
      <c r="D41" s="169"/>
      <c r="E41" s="52" t="s">
        <v>39</v>
      </c>
      <c r="F41" s="124">
        <v>43061</v>
      </c>
      <c r="H41" s="72" t="s">
        <v>109</v>
      </c>
      <c r="I41" s="18"/>
      <c r="J41" s="18" t="s">
        <v>6</v>
      </c>
      <c r="K41" s="18" t="s">
        <v>6</v>
      </c>
      <c r="L41" s="18" t="s">
        <v>9</v>
      </c>
      <c r="M41" s="48" t="s">
        <v>9</v>
      </c>
      <c r="N41" s="18"/>
      <c r="O41" s="18"/>
      <c r="P41" s="18"/>
      <c r="Q41" s="1" t="s">
        <v>5</v>
      </c>
    </row>
    <row r="42" spans="1:17" ht="12" customHeight="1" x14ac:dyDescent="0.3">
      <c r="H42" s="117" t="s">
        <v>21</v>
      </c>
      <c r="I42" s="125">
        <v>2</v>
      </c>
      <c r="J42" s="125">
        <v>14.25</v>
      </c>
      <c r="K42" s="125">
        <v>3</v>
      </c>
      <c r="L42" s="125">
        <v>133</v>
      </c>
      <c r="M42" s="126">
        <v>208</v>
      </c>
      <c r="P42" s="1" t="s">
        <v>66</v>
      </c>
      <c r="Q42" s="13">
        <v>0.10447917354321101</v>
      </c>
    </row>
    <row r="43" spans="1:17" ht="12" customHeight="1" x14ac:dyDescent="0.3">
      <c r="A43" s="12" t="s">
        <v>31</v>
      </c>
      <c r="B43" s="12"/>
      <c r="D43" s="2"/>
      <c r="E43" s="2"/>
      <c r="F43" s="2"/>
      <c r="H43" s="117" t="s">
        <v>178</v>
      </c>
      <c r="I43" s="125">
        <v>4</v>
      </c>
      <c r="J43" s="125">
        <v>0.75</v>
      </c>
      <c r="K43" s="125">
        <v>4.5</v>
      </c>
      <c r="L43" s="125">
        <v>20</v>
      </c>
      <c r="M43" s="126">
        <v>133</v>
      </c>
      <c r="P43" s="1" t="s">
        <v>179</v>
      </c>
      <c r="Q43" s="13">
        <v>0.142309514594706</v>
      </c>
    </row>
    <row r="44" spans="1:17" ht="12" customHeight="1" x14ac:dyDescent="0.3">
      <c r="H44" s="117"/>
      <c r="I44" s="125"/>
      <c r="J44" s="125"/>
      <c r="K44" s="125"/>
      <c r="L44" s="125"/>
      <c r="M44" s="126"/>
      <c r="P44" s="1" t="s">
        <v>176</v>
      </c>
      <c r="Q44" s="13" t="s">
        <v>176</v>
      </c>
    </row>
    <row r="45" spans="1:17" ht="12" customHeight="1" x14ac:dyDescent="0.3">
      <c r="A45" s="22" t="s">
        <v>157</v>
      </c>
      <c r="B45" s="22"/>
      <c r="C45" s="22"/>
      <c r="D45" s="22"/>
      <c r="E45" s="23">
        <v>0.1257414486036256</v>
      </c>
      <c r="F45" s="22" t="s">
        <v>5</v>
      </c>
      <c r="H45" s="117"/>
      <c r="I45" s="125"/>
      <c r="J45" s="125"/>
      <c r="K45" s="125"/>
      <c r="L45" s="125"/>
      <c r="M45" s="126"/>
      <c r="P45" s="1" t="s">
        <v>176</v>
      </c>
      <c r="Q45" s="13" t="s">
        <v>176</v>
      </c>
    </row>
    <row r="46" spans="1:17" ht="12" customHeight="1" x14ac:dyDescent="0.3">
      <c r="A46" s="22" t="s">
        <v>43</v>
      </c>
      <c r="B46" s="22"/>
      <c r="C46" s="22"/>
      <c r="D46" s="22"/>
      <c r="E46" s="25">
        <v>0.1257414486036256</v>
      </c>
      <c r="F46" s="22" t="s">
        <v>5</v>
      </c>
      <c r="H46" s="117"/>
      <c r="I46" s="125"/>
      <c r="J46" s="125"/>
      <c r="K46" s="125"/>
      <c r="L46" s="125"/>
      <c r="M46" s="126"/>
      <c r="P46" s="1" t="s">
        <v>176</v>
      </c>
      <c r="Q46" s="13"/>
    </row>
    <row r="47" spans="1:17" ht="12" customHeight="1" x14ac:dyDescent="0.3">
      <c r="A47" s="3"/>
      <c r="B47" s="3"/>
      <c r="C47" s="3"/>
      <c r="F47" s="2"/>
      <c r="H47" s="117"/>
      <c r="I47" s="125"/>
      <c r="J47" s="125"/>
      <c r="K47" s="125"/>
      <c r="L47" s="125"/>
      <c r="M47" s="126"/>
      <c r="P47" s="1" t="s">
        <v>176</v>
      </c>
      <c r="Q47" s="13"/>
    </row>
    <row r="48" spans="1:17" ht="12" customHeight="1" thickBot="1" x14ac:dyDescent="0.35">
      <c r="A48" s="12" t="s">
        <v>115</v>
      </c>
      <c r="E48" s="1"/>
      <c r="F48" s="2"/>
      <c r="H48" s="127"/>
      <c r="I48" s="128"/>
      <c r="J48" s="128"/>
      <c r="K48" s="128"/>
      <c r="L48" s="128"/>
      <c r="M48" s="129"/>
      <c r="P48" s="1" t="s">
        <v>176</v>
      </c>
      <c r="Q48" s="13"/>
    </row>
    <row r="49" spans="1:17" ht="12" customHeight="1" thickBot="1" x14ac:dyDescent="0.35">
      <c r="A49" s="2" t="s">
        <v>0</v>
      </c>
      <c r="E49" s="15">
        <v>10.26</v>
      </c>
      <c r="F49" s="2" t="s">
        <v>7</v>
      </c>
      <c r="H49" s="7"/>
      <c r="I49" s="7"/>
      <c r="Q49" s="1"/>
    </row>
    <row r="50" spans="1:17" ht="12" customHeight="1" thickTop="1" x14ac:dyDescent="0.3">
      <c r="A50" s="2" t="s">
        <v>41</v>
      </c>
      <c r="E50" s="15">
        <v>38.776499999999999</v>
      </c>
      <c r="F50" s="2" t="s">
        <v>7</v>
      </c>
      <c r="H50" s="75" t="s">
        <v>228</v>
      </c>
      <c r="I50" s="76"/>
      <c r="J50" s="76"/>
      <c r="K50" s="76"/>
      <c r="L50" s="76"/>
      <c r="M50" s="76"/>
      <c r="N50" s="77"/>
    </row>
    <row r="51" spans="1:17" ht="12" customHeight="1" x14ac:dyDescent="0.3">
      <c r="A51" s="2" t="s">
        <v>1</v>
      </c>
      <c r="E51" s="15">
        <v>34.200000000000003</v>
      </c>
      <c r="F51" s="2" t="s">
        <v>7</v>
      </c>
      <c r="H51" s="78" t="s">
        <v>81</v>
      </c>
      <c r="I51" s="3"/>
      <c r="K51" s="1"/>
      <c r="L51" s="47" t="s">
        <v>66</v>
      </c>
      <c r="M51" s="47" t="s">
        <v>67</v>
      </c>
      <c r="N51" s="79" t="s">
        <v>68</v>
      </c>
    </row>
    <row r="52" spans="1:17" ht="12" customHeight="1" x14ac:dyDescent="0.3">
      <c r="A52" s="2" t="s">
        <v>2</v>
      </c>
      <c r="E52" s="15">
        <v>17.100000000000001</v>
      </c>
      <c r="F52" s="2" t="s">
        <v>7</v>
      </c>
      <c r="H52" s="78" t="s">
        <v>22</v>
      </c>
      <c r="I52" s="3"/>
      <c r="K52" s="1" t="s">
        <v>6</v>
      </c>
      <c r="L52" s="130">
        <v>3</v>
      </c>
      <c r="M52" s="130"/>
      <c r="N52" s="131"/>
    </row>
    <row r="53" spans="1:17" ht="12" customHeight="1" x14ac:dyDescent="0.3">
      <c r="A53" s="2" t="s">
        <v>58</v>
      </c>
      <c r="E53" s="15">
        <v>100.3365</v>
      </c>
      <c r="F53" s="2" t="s">
        <v>7</v>
      </c>
      <c r="H53" s="81" t="s">
        <v>64</v>
      </c>
      <c r="I53" s="3"/>
      <c r="K53" s="1" t="s">
        <v>9</v>
      </c>
      <c r="L53" s="130">
        <v>133</v>
      </c>
      <c r="M53" s="130"/>
      <c r="N53" s="131"/>
    </row>
    <row r="54" spans="1:17" ht="12" customHeight="1" thickBot="1" x14ac:dyDescent="0.35">
      <c r="A54" s="2" t="s">
        <v>230</v>
      </c>
      <c r="E54" s="15">
        <v>342</v>
      </c>
      <c r="F54" s="2" t="s">
        <v>8</v>
      </c>
      <c r="H54" s="82" t="s">
        <v>65</v>
      </c>
      <c r="I54" s="83"/>
      <c r="J54" s="83"/>
      <c r="K54" s="84" t="s">
        <v>9</v>
      </c>
      <c r="L54" s="85">
        <v>208</v>
      </c>
      <c r="M54" s="85" t="s">
        <v>176</v>
      </c>
      <c r="N54" s="86" t="s">
        <v>176</v>
      </c>
    </row>
    <row r="55" spans="1:17" ht="12" customHeight="1" thickTop="1" thickBot="1" x14ac:dyDescent="0.35">
      <c r="I55" s="3"/>
    </row>
    <row r="56" spans="1:17" ht="12" customHeight="1" x14ac:dyDescent="0.3">
      <c r="A56" s="54" t="s">
        <v>111</v>
      </c>
      <c r="B56" s="55"/>
      <c r="C56" s="55"/>
      <c r="D56" s="44"/>
      <c r="E56" s="44"/>
      <c r="F56" s="45"/>
      <c r="H56" s="67" t="s">
        <v>113</v>
      </c>
      <c r="I56" s="68"/>
      <c r="J56" s="44"/>
      <c r="K56" s="44"/>
      <c r="L56" s="44"/>
      <c r="M56" s="44"/>
      <c r="N56" s="45"/>
    </row>
    <row r="57" spans="1:17" ht="41.4" customHeight="1" x14ac:dyDescent="0.3">
      <c r="A57" s="56" t="s">
        <v>18</v>
      </c>
      <c r="B57" s="16"/>
      <c r="C57" s="16" t="s">
        <v>4</v>
      </c>
      <c r="D57" s="17" t="s">
        <v>3</v>
      </c>
      <c r="E57" s="17" t="s">
        <v>14</v>
      </c>
      <c r="F57" s="57" t="s">
        <v>15</v>
      </c>
      <c r="G57" s="7"/>
      <c r="H57" s="70" t="s">
        <v>156</v>
      </c>
      <c r="I57" s="35" t="s">
        <v>59</v>
      </c>
      <c r="J57" s="35" t="s">
        <v>23</v>
      </c>
      <c r="K57" s="35" t="s">
        <v>22</v>
      </c>
      <c r="L57" s="35" t="s">
        <v>44</v>
      </c>
      <c r="M57" s="35" t="s">
        <v>45</v>
      </c>
      <c r="N57" s="71" t="s">
        <v>46</v>
      </c>
      <c r="O57" s="17"/>
      <c r="P57" s="35" t="s">
        <v>28</v>
      </c>
      <c r="Q57" s="35" t="s">
        <v>27</v>
      </c>
    </row>
    <row r="58" spans="1:17" ht="12" customHeight="1" x14ac:dyDescent="0.3">
      <c r="A58" s="46"/>
      <c r="D58" s="1" t="s">
        <v>9</v>
      </c>
      <c r="E58" s="1" t="s">
        <v>10</v>
      </c>
      <c r="F58" s="58" t="s">
        <v>11</v>
      </c>
      <c r="H58" s="72" t="s">
        <v>109</v>
      </c>
      <c r="I58" s="18"/>
      <c r="J58" s="18" t="s">
        <v>6</v>
      </c>
      <c r="K58" s="18" t="s">
        <v>6</v>
      </c>
      <c r="L58" s="18" t="s">
        <v>9</v>
      </c>
      <c r="M58" s="18" t="s">
        <v>9</v>
      </c>
      <c r="N58" s="48" t="s">
        <v>9</v>
      </c>
      <c r="O58" s="18"/>
      <c r="P58" s="19"/>
      <c r="Q58" s="1" t="s">
        <v>5</v>
      </c>
    </row>
    <row r="59" spans="1:17" ht="12" customHeight="1" x14ac:dyDescent="0.3">
      <c r="A59" s="117" t="s">
        <v>42</v>
      </c>
      <c r="B59" s="118"/>
      <c r="C59" s="118" t="s">
        <v>50</v>
      </c>
      <c r="D59" s="125">
        <v>5</v>
      </c>
      <c r="E59" s="125">
        <v>0.7</v>
      </c>
      <c r="F59" s="62">
        <v>7.1428571428571435E-3</v>
      </c>
      <c r="H59" s="117" t="s">
        <v>19</v>
      </c>
      <c r="I59" s="125">
        <v>10</v>
      </c>
      <c r="J59" s="125">
        <v>9</v>
      </c>
      <c r="K59" s="125">
        <v>4.5</v>
      </c>
      <c r="L59" s="125">
        <v>20</v>
      </c>
      <c r="M59" s="125">
        <v>133</v>
      </c>
      <c r="N59" s="126">
        <v>133</v>
      </c>
      <c r="O59" s="18"/>
      <c r="P59" s="1" t="s">
        <v>179</v>
      </c>
      <c r="Q59" s="13">
        <v>0.13230217134760033</v>
      </c>
    </row>
    <row r="60" spans="1:17" ht="12" customHeight="1" x14ac:dyDescent="0.3">
      <c r="A60" s="117" t="s">
        <v>16</v>
      </c>
      <c r="B60" s="118"/>
      <c r="C60" s="118" t="s">
        <v>48</v>
      </c>
      <c r="D60" s="125">
        <v>30</v>
      </c>
      <c r="E60" s="125">
        <v>3.5999999999999997E-2</v>
      </c>
      <c r="F60" s="62">
        <v>0.83333333333333337</v>
      </c>
      <c r="H60" s="117" t="s">
        <v>20</v>
      </c>
      <c r="I60" s="125">
        <v>4</v>
      </c>
      <c r="J60" s="125">
        <v>4.5</v>
      </c>
      <c r="K60" s="125">
        <v>4.5</v>
      </c>
      <c r="L60" s="125">
        <v>20</v>
      </c>
      <c r="M60" s="125">
        <v>133</v>
      </c>
      <c r="N60" s="126">
        <v>133</v>
      </c>
      <c r="O60" s="18"/>
      <c r="P60" s="1" t="s">
        <v>179</v>
      </c>
      <c r="Q60" s="13">
        <v>0.13230217134760033</v>
      </c>
    </row>
    <row r="61" spans="1:17" ht="12" customHeight="1" x14ac:dyDescent="0.3">
      <c r="A61" s="46" t="s">
        <v>51</v>
      </c>
      <c r="C61" s="118" t="s">
        <v>49</v>
      </c>
      <c r="D61" s="4" t="s">
        <v>114</v>
      </c>
      <c r="E61" s="125">
        <v>3.7999999999999999E-2</v>
      </c>
      <c r="F61" s="63"/>
      <c r="H61" s="117"/>
      <c r="I61" s="125"/>
      <c r="J61" s="125"/>
      <c r="K61" s="125"/>
      <c r="L61" s="125"/>
      <c r="M61" s="125"/>
      <c r="N61" s="126"/>
      <c r="O61" s="18"/>
      <c r="P61" s="1" t="s">
        <v>176</v>
      </c>
      <c r="Q61" s="13" t="s">
        <v>176</v>
      </c>
    </row>
    <row r="62" spans="1:17" ht="12" customHeight="1" x14ac:dyDescent="0.3">
      <c r="A62" s="117" t="s">
        <v>17</v>
      </c>
      <c r="B62" s="118"/>
      <c r="C62" s="118" t="s">
        <v>49</v>
      </c>
      <c r="D62" s="125">
        <v>100</v>
      </c>
      <c r="E62" s="125">
        <v>3.7999999999999999E-2</v>
      </c>
      <c r="F62" s="62">
        <v>2.6315789473684212</v>
      </c>
      <c r="H62" s="117"/>
      <c r="I62" s="125"/>
      <c r="J62" s="125"/>
      <c r="K62" s="125"/>
      <c r="L62" s="125"/>
      <c r="M62" s="125"/>
      <c r="N62" s="126"/>
      <c r="O62" s="18"/>
      <c r="P62" s="1" t="s">
        <v>176</v>
      </c>
      <c r="Q62" s="13" t="s">
        <v>176</v>
      </c>
    </row>
    <row r="63" spans="1:17" ht="12" customHeight="1" x14ac:dyDescent="0.3">
      <c r="A63" s="117" t="s">
        <v>12</v>
      </c>
      <c r="B63" s="118"/>
      <c r="C63" s="118" t="s">
        <v>107</v>
      </c>
      <c r="D63" s="125">
        <v>50</v>
      </c>
      <c r="E63" s="125">
        <v>3.5999999999999997E-2</v>
      </c>
      <c r="F63" s="62">
        <v>1.3888888888888891</v>
      </c>
      <c r="H63" s="117"/>
      <c r="I63" s="125"/>
      <c r="J63" s="125"/>
      <c r="K63" s="125"/>
      <c r="L63" s="125"/>
      <c r="M63" s="125"/>
      <c r="N63" s="126"/>
      <c r="O63" s="18"/>
      <c r="P63" s="1" t="s">
        <v>176</v>
      </c>
      <c r="Q63" s="13" t="s">
        <v>176</v>
      </c>
    </row>
    <row r="64" spans="1:17" ht="12" customHeight="1" x14ac:dyDescent="0.3">
      <c r="A64" s="117"/>
      <c r="B64" s="118"/>
      <c r="C64" s="118"/>
      <c r="D64" s="125"/>
      <c r="E64" s="125"/>
      <c r="F64" s="62" t="s">
        <v>176</v>
      </c>
      <c r="H64" s="117"/>
      <c r="I64" s="125"/>
      <c r="J64" s="125"/>
      <c r="K64" s="125"/>
      <c r="L64" s="125"/>
      <c r="M64" s="125"/>
      <c r="N64" s="126"/>
      <c r="O64" s="18"/>
      <c r="P64" s="1" t="s">
        <v>176</v>
      </c>
      <c r="Q64" s="13" t="s">
        <v>176</v>
      </c>
    </row>
    <row r="65" spans="1:17" ht="12" customHeight="1" thickBot="1" x14ac:dyDescent="0.35">
      <c r="A65" s="117" t="s">
        <v>13</v>
      </c>
      <c r="B65" s="118"/>
      <c r="C65" s="118" t="s">
        <v>47</v>
      </c>
      <c r="D65" s="125">
        <v>270</v>
      </c>
      <c r="E65" s="125">
        <v>2.2999999999999998</v>
      </c>
      <c r="F65" s="62">
        <v>0.1173913043478261</v>
      </c>
      <c r="H65" s="127"/>
      <c r="I65" s="128"/>
      <c r="J65" s="128"/>
      <c r="K65" s="128"/>
      <c r="L65" s="128"/>
      <c r="M65" s="128"/>
      <c r="N65" s="129"/>
      <c r="O65" s="18"/>
      <c r="P65" s="1" t="s">
        <v>176</v>
      </c>
      <c r="Q65" s="13" t="s">
        <v>176</v>
      </c>
    </row>
    <row r="66" spans="1:17" s="7" customFormat="1" ht="12" customHeight="1" thickBot="1" x14ac:dyDescent="0.35">
      <c r="A66" s="46" t="s">
        <v>152</v>
      </c>
      <c r="B66" s="2"/>
      <c r="C66" s="2"/>
      <c r="D66" s="2"/>
      <c r="E66" s="2"/>
      <c r="F66" s="126"/>
      <c r="G66" s="3"/>
      <c r="H66" s="2"/>
      <c r="I66" s="2"/>
      <c r="J66" s="2"/>
      <c r="K66" s="2"/>
      <c r="L66" s="3"/>
      <c r="M66" s="3"/>
      <c r="N66" s="3"/>
      <c r="O66" s="18"/>
      <c r="P66" s="3"/>
      <c r="Q66" s="3"/>
    </row>
    <row r="67" spans="1:17" ht="12" customHeight="1" thickTop="1" thickBot="1" x14ac:dyDescent="0.35">
      <c r="A67" s="50" t="s">
        <v>239</v>
      </c>
      <c r="D67" s="2"/>
      <c r="E67" s="2"/>
      <c r="F67" s="126"/>
      <c r="H67" s="75" t="s">
        <v>229</v>
      </c>
      <c r="I67" s="76"/>
      <c r="J67" s="76"/>
      <c r="K67" s="76"/>
      <c r="L67" s="76"/>
      <c r="M67" s="76"/>
      <c r="N67" s="77"/>
      <c r="O67" s="18"/>
    </row>
    <row r="68" spans="1:17" ht="12" customHeight="1" x14ac:dyDescent="0.3">
      <c r="A68" s="46"/>
      <c r="F68" s="49"/>
      <c r="H68" s="78" t="s">
        <v>80</v>
      </c>
      <c r="I68" s="3"/>
      <c r="K68" s="1"/>
      <c r="L68" s="47" t="s">
        <v>66</v>
      </c>
      <c r="M68" s="47" t="s">
        <v>67</v>
      </c>
      <c r="N68" s="79" t="s">
        <v>68</v>
      </c>
      <c r="O68" s="18"/>
    </row>
    <row r="69" spans="1:17" ht="12" customHeight="1" x14ac:dyDescent="0.3">
      <c r="A69" s="65" t="s">
        <v>61</v>
      </c>
      <c r="D69" s="2"/>
      <c r="E69" s="4" t="s">
        <v>8</v>
      </c>
      <c r="F69" s="132">
        <v>342</v>
      </c>
      <c r="H69" s="78" t="s">
        <v>22</v>
      </c>
      <c r="I69" s="3"/>
      <c r="K69" s="1" t="s">
        <v>6</v>
      </c>
      <c r="L69" s="130">
        <v>4.5</v>
      </c>
      <c r="M69" s="130"/>
      <c r="N69" s="131"/>
      <c r="O69" s="18"/>
    </row>
    <row r="70" spans="1:17" ht="12" customHeight="1" thickBot="1" x14ac:dyDescent="0.35">
      <c r="A70" s="105" t="s">
        <v>62</v>
      </c>
      <c r="B70" s="51"/>
      <c r="C70" s="51"/>
      <c r="D70" s="51"/>
      <c r="E70" s="52" t="s">
        <v>8</v>
      </c>
      <c r="F70" s="133">
        <v>0</v>
      </c>
      <c r="H70" s="81" t="s">
        <v>64</v>
      </c>
      <c r="I70" s="3"/>
      <c r="K70" s="1" t="s">
        <v>9</v>
      </c>
      <c r="L70" s="130">
        <v>20</v>
      </c>
      <c r="M70" s="130"/>
      <c r="N70" s="131"/>
      <c r="O70" s="18"/>
    </row>
    <row r="71" spans="1:17" ht="12" customHeight="1" x14ac:dyDescent="0.3">
      <c r="A71" s="2" t="s">
        <v>69</v>
      </c>
      <c r="D71" s="5" t="s">
        <v>177</v>
      </c>
      <c r="E71" s="4"/>
      <c r="F71" s="4"/>
      <c r="H71" s="81" t="s">
        <v>65</v>
      </c>
      <c r="I71" s="3"/>
      <c r="K71" s="1" t="s">
        <v>9</v>
      </c>
      <c r="L71" s="21">
        <v>132.5</v>
      </c>
      <c r="M71" s="21" t="s">
        <v>176</v>
      </c>
      <c r="N71" s="98" t="s">
        <v>176</v>
      </c>
      <c r="O71" s="18"/>
    </row>
    <row r="72" spans="1:17" ht="12" customHeight="1" x14ac:dyDescent="0.3">
      <c r="A72" s="3"/>
      <c r="B72" s="3"/>
      <c r="C72" s="3"/>
      <c r="H72" s="81" t="s">
        <v>180</v>
      </c>
      <c r="K72" s="1" t="s">
        <v>9</v>
      </c>
      <c r="L72" s="21">
        <v>48.125</v>
      </c>
      <c r="M72" s="21" t="s">
        <v>176</v>
      </c>
      <c r="N72" s="99"/>
      <c r="O72" s="21"/>
    </row>
    <row r="73" spans="1:17" ht="12" customHeight="1" x14ac:dyDescent="0.3">
      <c r="H73" s="81" t="s">
        <v>23</v>
      </c>
      <c r="K73" s="1" t="s">
        <v>6</v>
      </c>
      <c r="L73" s="1">
        <v>1.125</v>
      </c>
      <c r="M73" s="1" t="s">
        <v>176</v>
      </c>
      <c r="N73" s="99"/>
    </row>
    <row r="74" spans="1:17" ht="12" customHeight="1" x14ac:dyDescent="0.3">
      <c r="H74" s="100" t="s">
        <v>71</v>
      </c>
      <c r="N74" s="99"/>
    </row>
    <row r="75" spans="1:17" ht="12" customHeight="1" thickBot="1" x14ac:dyDescent="0.35">
      <c r="H75" s="82" t="s">
        <v>82</v>
      </c>
      <c r="I75" s="84"/>
      <c r="J75" s="83"/>
      <c r="K75" s="83"/>
      <c r="L75" s="83"/>
      <c r="M75" s="83"/>
      <c r="N75" s="101"/>
    </row>
    <row r="76" spans="1:17" ht="12" customHeight="1" thickTop="1" x14ac:dyDescent="0.3"/>
    <row r="77" spans="1:17" ht="12" customHeight="1" x14ac:dyDescent="0.3">
      <c r="A77" s="5" t="s">
        <v>122</v>
      </c>
      <c r="B77" s="3"/>
      <c r="C77" s="3"/>
    </row>
    <row r="78" spans="1:17" ht="12" customHeight="1" x14ac:dyDescent="0.3">
      <c r="A78" s="2" t="s">
        <v>35</v>
      </c>
      <c r="D78" s="2"/>
      <c r="E78" s="1" t="s">
        <v>11</v>
      </c>
      <c r="F78" s="1">
        <v>0.04</v>
      </c>
    </row>
    <row r="79" spans="1:17" ht="12" customHeight="1" x14ac:dyDescent="0.3">
      <c r="A79" s="2" t="s">
        <v>34</v>
      </c>
      <c r="D79" s="2"/>
      <c r="E79" s="1" t="s">
        <v>11</v>
      </c>
      <c r="F79" s="14">
        <v>0.1</v>
      </c>
    </row>
    <row r="80" spans="1:17" ht="12" customHeight="1" x14ac:dyDescent="0.3">
      <c r="A80" s="3"/>
      <c r="B80" s="3"/>
      <c r="C80" s="3"/>
    </row>
    <row r="81" spans="1:16" ht="12" customHeight="1" x14ac:dyDescent="0.3"/>
    <row r="82" spans="1:16" x14ac:dyDescent="0.3">
      <c r="A82" s="5" t="s">
        <v>123</v>
      </c>
      <c r="B82" s="3"/>
      <c r="C82" s="3"/>
      <c r="I82" s="3"/>
    </row>
    <row r="83" spans="1:16" x14ac:dyDescent="0.3">
      <c r="A83" s="2" t="s">
        <v>185</v>
      </c>
      <c r="D83" s="1"/>
      <c r="E83" s="1" t="s">
        <v>11</v>
      </c>
      <c r="F83" s="13">
        <v>5.1183353310813269</v>
      </c>
      <c r="I83" s="3"/>
      <c r="P83" s="27"/>
    </row>
    <row r="84" spans="1:16" x14ac:dyDescent="0.3">
      <c r="A84" s="2" t="s">
        <v>63</v>
      </c>
      <c r="D84" s="2"/>
      <c r="E84" s="4" t="s">
        <v>5</v>
      </c>
      <c r="F84" s="13">
        <v>0.19537602273290966</v>
      </c>
      <c r="I84" s="3"/>
    </row>
    <row r="85" spans="1:16" x14ac:dyDescent="0.3">
      <c r="A85" s="2" t="s">
        <v>117</v>
      </c>
      <c r="D85" s="2"/>
      <c r="E85" s="4" t="s">
        <v>5</v>
      </c>
      <c r="F85" s="13">
        <v>0.1257414486036256</v>
      </c>
      <c r="I85" s="3"/>
    </row>
    <row r="86" spans="1:16" x14ac:dyDescent="0.3">
      <c r="A86" s="2" t="s">
        <v>124</v>
      </c>
      <c r="D86" s="2"/>
      <c r="E86" s="4" t="s">
        <v>5</v>
      </c>
      <c r="F86" s="13">
        <v>0.12342538380535979</v>
      </c>
      <c r="I86" s="3"/>
    </row>
    <row r="87" spans="1:16" x14ac:dyDescent="0.3">
      <c r="A87" s="2" t="s">
        <v>119</v>
      </c>
      <c r="E87" s="4" t="s">
        <v>118</v>
      </c>
      <c r="F87" s="15">
        <v>-1.8419262892117074</v>
      </c>
      <c r="I87" s="3"/>
    </row>
    <row r="88" spans="1:16" x14ac:dyDescent="0.3">
      <c r="A88" s="2" t="s">
        <v>120</v>
      </c>
      <c r="E88" s="4" t="s">
        <v>9</v>
      </c>
      <c r="F88" s="15">
        <v>5.6708917430164263</v>
      </c>
    </row>
    <row r="89" spans="1:16" x14ac:dyDescent="0.3">
      <c r="A89" s="2" t="s">
        <v>121</v>
      </c>
      <c r="E89" s="4" t="s">
        <v>7</v>
      </c>
      <c r="F89" s="15">
        <v>1.9394449761116177</v>
      </c>
    </row>
    <row r="90" spans="1:16" x14ac:dyDescent="0.3">
      <c r="A90" s="2" t="s">
        <v>116</v>
      </c>
      <c r="D90" s="2"/>
      <c r="E90" s="4" t="s">
        <v>9</v>
      </c>
      <c r="F90" s="21">
        <v>113.38157894736841</v>
      </c>
    </row>
    <row r="96" spans="1:16" x14ac:dyDescent="0.3">
      <c r="F96" s="7"/>
      <c r="G96" s="7"/>
    </row>
    <row r="97" spans="1:15" x14ac:dyDescent="0.3">
      <c r="F97" s="7"/>
      <c r="G97" s="7"/>
    </row>
    <row r="99" spans="1:15" x14ac:dyDescent="0.3">
      <c r="A99" s="3"/>
      <c r="B99" s="3"/>
      <c r="C99" s="3"/>
      <c r="I99" s="3"/>
      <c r="M99" s="7"/>
      <c r="N99" s="7"/>
      <c r="O99" s="7"/>
    </row>
    <row r="100" spans="1:15" x14ac:dyDescent="0.3">
      <c r="A100" s="3"/>
      <c r="B100" s="3"/>
      <c r="C100" s="3"/>
    </row>
    <row r="101" spans="1:15" x14ac:dyDescent="0.3">
      <c r="A101" s="3"/>
      <c r="B101" s="3"/>
      <c r="C101" s="3"/>
    </row>
    <row r="102" spans="1:15" x14ac:dyDescent="0.3">
      <c r="A102" s="3"/>
      <c r="B102" s="3"/>
      <c r="C102" s="3"/>
    </row>
    <row r="109" spans="1:15" x14ac:dyDescent="0.3">
      <c r="I109" s="3"/>
    </row>
    <row r="110" spans="1:15" x14ac:dyDescent="0.3">
      <c r="A110" s="3"/>
      <c r="I110" s="3"/>
    </row>
    <row r="111" spans="1:15" x14ac:dyDescent="0.3">
      <c r="I111" s="3"/>
    </row>
    <row r="112" spans="1:15" x14ac:dyDescent="0.3">
      <c r="I112" s="3"/>
    </row>
    <row r="113" spans="9:9" x14ac:dyDescent="0.3">
      <c r="I113" s="3"/>
    </row>
    <row r="114" spans="9:9" x14ac:dyDescent="0.3">
      <c r="I114" s="3"/>
    </row>
    <row r="115" spans="9:9" x14ac:dyDescent="0.3">
      <c r="I115" s="3"/>
    </row>
    <row r="116" spans="9:9" x14ac:dyDescent="0.3">
      <c r="I116" s="3"/>
    </row>
    <row r="117" spans="9:9" x14ac:dyDescent="0.3">
      <c r="I117" s="3"/>
    </row>
  </sheetData>
  <sheetProtection sheet="1"/>
  <mergeCells count="2">
    <mergeCell ref="C40:F40"/>
    <mergeCell ref="C41:D41"/>
  </mergeCells>
  <dataValidations count="2">
    <dataValidation type="list" showInputMessage="1" showErrorMessage="1" sqref="C60:C63" xr:uid="{00000000-0002-0000-0700-000000000000}">
      <formula1>#REF!</formula1>
    </dataValidation>
    <dataValidation type="list" allowBlank="1" showInputMessage="1" showErrorMessage="1" sqref="C59" xr:uid="{00000000-0002-0000-0700-000001000000}">
      <formula1>#REF!</formula1>
    </dataValidation>
  </dataValidations>
  <pageMargins left="0.55118110236220474" right="0.23622047244094491" top="0.74803149606299213" bottom="0.39370078740157483" header="0.51181102362204722" footer="0.31496062992125984"/>
  <pageSetup paperSize="9" orientation="portrait" r:id="rId1"/>
  <headerFooter>
    <oddFooter>&amp;C
side &amp;P av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8"/>
  <dimension ref="A1"/>
  <sheetViews>
    <sheetView workbookViewId="0"/>
  </sheetViews>
  <sheetFormatPr baseColWidth="10" defaultColWidth="9.109375" defaultRowHeight="14.4" x14ac:dyDescent="0.3"/>
  <sheetData/>
  <sheetProtection sheet="1" objects="1" scenario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9</vt:i4>
      </vt:variant>
      <vt:variant>
        <vt:lpstr>Navngitte områder</vt:lpstr>
      </vt:variant>
      <vt:variant>
        <vt:i4>8</vt:i4>
      </vt:variant>
    </vt:vector>
  </HeadingPairs>
  <TitlesOfParts>
    <vt:vector size="17" baseType="lpstr">
      <vt:lpstr>Ark1</vt:lpstr>
      <vt:lpstr>Nøyaktig beregning</vt:lpstr>
      <vt:lpstr>Forenklet beregning</vt:lpstr>
      <vt:lpstr>Materialdata</vt:lpstr>
      <vt:lpstr>Veiledning</vt:lpstr>
      <vt:lpstr>Takeksempel 1</vt:lpstr>
      <vt:lpstr>Takeksempel 2</vt:lpstr>
      <vt:lpstr>Takeksempel 3</vt:lpstr>
      <vt:lpstr>Formelgrunnlag</vt:lpstr>
      <vt:lpstr>'Takeksempel 1'!Asfalt_takbelegg</vt:lpstr>
      <vt:lpstr>'Takeksempel 2'!Asfalt_takbelegg</vt:lpstr>
      <vt:lpstr>'Takeksempel 3'!Asfalt_takbelegg</vt:lpstr>
      <vt:lpstr>Asfalt_takbelegg</vt:lpstr>
      <vt:lpstr>'Forenklet beregning'!Utskriftsområde</vt:lpstr>
      <vt:lpstr>'Nøyaktig beregning'!Utskriftsområde</vt:lpstr>
      <vt:lpstr>'Takeksempel 2'!Utskriftsområde</vt:lpstr>
      <vt:lpstr>'Takeksempel 3'!Utskriftsområde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Sivert Uvsløkk 2</dc:creator>
  <cp:lastModifiedBy>Trine Dyrstad Pettersen</cp:lastModifiedBy>
  <cp:lastPrinted>2018-09-18T14:23:30Z</cp:lastPrinted>
  <dcterms:created xsi:type="dcterms:W3CDTF">2017-09-05T10:42:40Z</dcterms:created>
  <dcterms:modified xsi:type="dcterms:W3CDTF">2019-02-21T10:58:29Z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